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S DE JUlIO  2022\"/>
    </mc:Choice>
  </mc:AlternateContent>
  <bookViews>
    <workbookView xWindow="7875" yWindow="-15" windowWidth="7920" windowHeight="10440" tabRatio="599" firstSheet="12" activeTab="13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T42" i="139" l="1"/>
  <c r="B13" i="139"/>
  <c r="B12" i="139"/>
  <c r="R74" i="139"/>
  <c r="U80" i="139"/>
  <c r="Q80" i="139"/>
  <c r="Q79" i="139"/>
  <c r="U79" i="139"/>
  <c r="U78" i="139"/>
  <c r="Q78" i="139"/>
  <c r="B71" i="136" l="1"/>
  <c r="B71" i="137"/>
  <c r="B71" i="138"/>
  <c r="B13" i="138" l="1"/>
  <c r="B12" i="138"/>
  <c r="U80" i="138"/>
  <c r="Q80" i="138"/>
  <c r="R74" i="138"/>
  <c r="U79" i="138"/>
  <c r="Q79" i="138"/>
  <c r="Q78" i="138"/>
  <c r="U78" i="138"/>
  <c r="U80" i="137"/>
  <c r="Q80" i="137"/>
  <c r="U79" i="137"/>
  <c r="Q79" i="137"/>
  <c r="B15" i="137"/>
  <c r="B13" i="137"/>
  <c r="I49" i="136"/>
  <c r="R71" i="136"/>
  <c r="B15" i="136"/>
  <c r="B13" i="136"/>
  <c r="B12" i="136"/>
  <c r="B8" i="136"/>
  <c r="R72" i="136"/>
  <c r="R70" i="136"/>
  <c r="U79" i="136"/>
  <c r="Q79" i="136"/>
  <c r="U78" i="136"/>
  <c r="Q78" i="136"/>
  <c r="I49" i="135" l="1"/>
  <c r="Q79" i="135"/>
  <c r="U79" i="135"/>
  <c r="Q78" i="135"/>
  <c r="U78" i="135"/>
  <c r="B12" i="135"/>
  <c r="R73" i="135"/>
  <c r="R71" i="135"/>
  <c r="R74" i="135"/>
  <c r="Q100" i="134" l="1"/>
  <c r="I49" i="134"/>
  <c r="R74" i="134"/>
  <c r="R73" i="134"/>
  <c r="K51" i="131" l="1"/>
  <c r="R72" i="133" l="1"/>
  <c r="T70" i="132" l="1"/>
  <c r="L36" i="132"/>
  <c r="L35" i="132"/>
  <c r="L30" i="132"/>
  <c r="L29" i="132"/>
  <c r="K37" i="132"/>
  <c r="R70" i="132"/>
  <c r="I49" i="132"/>
  <c r="R71" i="132"/>
  <c r="R72" i="132"/>
  <c r="I49" i="131"/>
  <c r="R72" i="131"/>
  <c r="I49" i="130"/>
  <c r="R73" i="130"/>
  <c r="R74" i="130"/>
  <c r="R71" i="130"/>
  <c r="I49" i="129" l="1"/>
  <c r="R73" i="129"/>
  <c r="R74" i="129"/>
  <c r="I49" i="128"/>
  <c r="R74" i="128"/>
  <c r="R70" i="128"/>
  <c r="I49" i="127" l="1"/>
  <c r="R73" i="127"/>
  <c r="R74" i="127"/>
  <c r="Q80" i="125" l="1"/>
  <c r="L44" i="126" l="1"/>
  <c r="L43" i="126"/>
  <c r="L38" i="126"/>
  <c r="L37" i="126"/>
  <c r="I56" i="126"/>
  <c r="I49" i="126"/>
  <c r="R72" i="126"/>
  <c r="I49" i="124" l="1"/>
  <c r="R72" i="124"/>
  <c r="R73" i="124"/>
  <c r="R74" i="124"/>
  <c r="L44" i="125"/>
  <c r="L43" i="125"/>
  <c r="L38" i="125"/>
  <c r="L37" i="125"/>
  <c r="K37" i="125"/>
  <c r="R73" i="125"/>
  <c r="I56" i="125"/>
  <c r="I49" i="125"/>
  <c r="R101" i="125"/>
  <c r="R74" i="125"/>
  <c r="R70" i="125"/>
  <c r="I49" i="123" l="1"/>
  <c r="R73" i="123"/>
  <c r="R72" i="123"/>
  <c r="T70" i="123"/>
  <c r="L36" i="122"/>
  <c r="L35" i="122"/>
  <c r="L32" i="122"/>
  <c r="L31" i="122"/>
  <c r="I49" i="122"/>
  <c r="R73" i="122"/>
  <c r="R72" i="122"/>
  <c r="R71" i="122"/>
  <c r="T71" i="122"/>
  <c r="I49" i="121"/>
  <c r="R74" i="121"/>
  <c r="R73" i="121"/>
  <c r="R72" i="121"/>
  <c r="I56" i="120"/>
  <c r="I49" i="120"/>
  <c r="R72" i="120"/>
  <c r="R71" i="120"/>
  <c r="R73" i="120"/>
  <c r="I56" i="119" l="1"/>
  <c r="I49" i="119"/>
  <c r="R74" i="119"/>
  <c r="R73" i="119"/>
  <c r="B71" i="118" l="1"/>
  <c r="K43" i="118"/>
  <c r="P104" i="118"/>
  <c r="R74" i="118"/>
  <c r="I49" i="118"/>
  <c r="R73" i="118"/>
  <c r="R71" i="118"/>
  <c r="R70" i="118"/>
  <c r="T70" i="118"/>
  <c r="I56" i="117" l="1"/>
  <c r="I49" i="117"/>
  <c r="R72" i="117"/>
  <c r="T74" i="117"/>
  <c r="R74" i="117"/>
  <c r="R73" i="117"/>
  <c r="I49" i="116"/>
  <c r="R73" i="116"/>
  <c r="R74" i="116"/>
  <c r="T70" i="116"/>
  <c r="R70" i="116"/>
  <c r="I49" i="115"/>
  <c r="Q107" i="115"/>
  <c r="Q106" i="115"/>
  <c r="R73" i="115"/>
  <c r="R72" i="115"/>
  <c r="R70" i="115"/>
  <c r="R73" i="114"/>
  <c r="I56" i="114"/>
  <c r="I49" i="114"/>
  <c r="R74" i="114"/>
  <c r="R71" i="114"/>
  <c r="I56" i="113"/>
  <c r="I49" i="113"/>
  <c r="I49" i="112" l="1"/>
  <c r="B71" i="111"/>
  <c r="I56" i="111" l="1"/>
  <c r="I49" i="111"/>
  <c r="R72" i="111"/>
  <c r="R73" i="111"/>
  <c r="I49" i="110"/>
  <c r="R73" i="110"/>
  <c r="R72" i="110"/>
  <c r="L38" i="40"/>
  <c r="L37" i="40"/>
  <c r="I56" i="40"/>
  <c r="R70" i="40"/>
  <c r="T71" i="40"/>
  <c r="I49" i="40"/>
  <c r="R73" i="40"/>
  <c r="R72" i="40"/>
  <c r="T70" i="40"/>
  <c r="B70" i="111" l="1"/>
  <c r="B77" i="143"/>
  <c r="B70" i="137" l="1"/>
  <c r="B70" i="121"/>
  <c r="B70" i="114"/>
  <c r="B70" i="112"/>
  <c r="B70" i="110"/>
  <c r="B70" i="40"/>
  <c r="P103" i="138" l="1"/>
  <c r="P104" i="138"/>
  <c r="P102" i="138"/>
  <c r="P101" i="138"/>
  <c r="B70" i="138"/>
  <c r="B70" i="135" l="1"/>
  <c r="B70" i="134" l="1"/>
  <c r="L29" i="134"/>
  <c r="P100" i="133" l="1"/>
  <c r="B70" i="133"/>
  <c r="B70" i="132"/>
  <c r="Q100" i="132"/>
  <c r="B70" i="129"/>
  <c r="B70" i="128" l="1"/>
  <c r="B70" i="127"/>
  <c r="B70" i="126" l="1"/>
  <c r="B70" i="124" l="1"/>
  <c r="Q102" i="124" l="1"/>
  <c r="B70" i="123" l="1"/>
  <c r="R104" i="123"/>
  <c r="B70" i="122"/>
  <c r="B70" i="119" l="1"/>
  <c r="B70" i="118" l="1"/>
  <c r="B70" i="117" l="1"/>
  <c r="Q109" i="117"/>
  <c r="Q108" i="117"/>
  <c r="Q107" i="117"/>
  <c r="B70" i="116"/>
  <c r="B70" i="115"/>
  <c r="B70" i="113" l="1"/>
  <c r="M76" i="111" l="1"/>
  <c r="P106" i="138" l="1"/>
  <c r="P105" i="138"/>
  <c r="Q105" i="137"/>
  <c r="B70" i="136" l="1"/>
  <c r="L37" i="132" l="1"/>
  <c r="Q105" i="132"/>
  <c r="L29" i="131" l="1"/>
  <c r="B16" i="125" l="1"/>
  <c r="B14" i="125"/>
  <c r="R103" i="128"/>
  <c r="R104" i="128"/>
  <c r="R102" i="128"/>
  <c r="Q104" i="124" l="1"/>
  <c r="J12" i="122"/>
  <c r="B70" i="120" l="1"/>
  <c r="P106" i="118" l="1"/>
  <c r="Q106" i="114" l="1"/>
  <c r="Q109" i="114"/>
  <c r="Q108" i="114"/>
  <c r="Q107" i="114"/>
  <c r="Q105" i="114"/>
  <c r="Q104" i="114"/>
  <c r="Q103" i="114"/>
  <c r="B70" i="131" l="1"/>
  <c r="L37" i="131"/>
  <c r="B70" i="130"/>
  <c r="D60" i="130"/>
  <c r="P101" i="126"/>
  <c r="B70" i="125"/>
  <c r="R103" i="125"/>
  <c r="R102" i="125"/>
  <c r="R105" i="123" l="1"/>
  <c r="R103" i="123"/>
  <c r="R101" i="123"/>
  <c r="R102" i="123"/>
  <c r="B55" i="121" l="1"/>
  <c r="S78" i="134" l="1"/>
  <c r="S79" i="134"/>
  <c r="T79" i="134" s="1"/>
  <c r="T78" i="134"/>
  <c r="L37" i="139" l="1"/>
  <c r="L29" i="139"/>
  <c r="P102" i="139"/>
  <c r="P101" i="139"/>
  <c r="Q110" i="137" l="1"/>
  <c r="Q109" i="137"/>
  <c r="Q108" i="137"/>
  <c r="Q107" i="137"/>
  <c r="Q106" i="137"/>
  <c r="L29" i="136" l="1"/>
  <c r="L29" i="135" l="1"/>
  <c r="L37" i="135"/>
  <c r="L37" i="124" l="1"/>
  <c r="P101" i="127" l="1"/>
  <c r="L29" i="121" l="1"/>
  <c r="L37" i="121"/>
  <c r="Q103" i="120"/>
  <c r="Q105" i="110" l="1"/>
  <c r="P101" i="136" l="1"/>
  <c r="P104" i="135"/>
  <c r="P103" i="135"/>
  <c r="Q101" i="134" l="1"/>
  <c r="Q102" i="134"/>
  <c r="Q106" i="129" l="1"/>
  <c r="Q105" i="129"/>
  <c r="L37" i="118" l="1"/>
  <c r="L29" i="118"/>
  <c r="Q104" i="117"/>
  <c r="Q103" i="110" l="1"/>
  <c r="P100" i="40" l="1"/>
  <c r="Q102" i="137" l="1"/>
  <c r="Q103" i="137"/>
  <c r="P106" i="135"/>
  <c r="P104" i="133"/>
  <c r="R100" i="125" l="1"/>
  <c r="Q103" i="124"/>
  <c r="Q101" i="124"/>
  <c r="P104" i="121" l="1"/>
  <c r="P103" i="118" l="1"/>
  <c r="Q102" i="115" l="1"/>
  <c r="Q102" i="113"/>
  <c r="Q103" i="113"/>
  <c r="P104" i="136" l="1"/>
  <c r="P103" i="136"/>
  <c r="P102" i="136"/>
  <c r="P101" i="135"/>
  <c r="B14" i="131" l="1"/>
  <c r="P104" i="131"/>
  <c r="P103" i="131"/>
  <c r="L37" i="114" l="1"/>
  <c r="Q106" i="110" l="1"/>
  <c r="Q102" i="110"/>
  <c r="Q98" i="138" l="1"/>
  <c r="B16" i="132" l="1"/>
  <c r="R101" i="128" l="1"/>
  <c r="P101" i="128"/>
  <c r="P100" i="128"/>
  <c r="Q101" i="120" l="1"/>
  <c r="Q104" i="119" l="1"/>
  <c r="B30" i="40" l="1"/>
  <c r="L37" i="130" l="1"/>
  <c r="L31" i="130"/>
  <c r="L29" i="130"/>
  <c r="Q98" i="120" l="1"/>
  <c r="L37" i="113" l="1"/>
  <c r="Q98" i="113"/>
  <c r="L39" i="40" l="1"/>
  <c r="P100" i="130" l="1"/>
  <c r="L29" i="129"/>
  <c r="L37" i="129"/>
  <c r="Q103" i="122" l="1"/>
  <c r="P103" i="121" l="1"/>
  <c r="P102" i="121"/>
  <c r="Q98" i="119" l="1"/>
  <c r="Q102" i="119"/>
  <c r="Q105" i="117" l="1"/>
  <c r="Q106" i="117" l="1"/>
  <c r="Q104" i="113" l="1"/>
  <c r="P103" i="112"/>
  <c r="P102" i="112"/>
  <c r="P100" i="112"/>
  <c r="P101" i="112" l="1"/>
  <c r="Q98" i="111" l="1"/>
  <c r="Q102" i="111"/>
  <c r="Q101" i="111"/>
  <c r="Q100" i="111"/>
  <c r="Q101" i="110" l="1"/>
  <c r="Q98" i="40"/>
  <c r="P102" i="40" l="1"/>
  <c r="P103" i="40"/>
  <c r="P101" i="40"/>
  <c r="P102" i="135" l="1"/>
  <c r="P102" i="131" l="1"/>
  <c r="P101" i="131"/>
  <c r="Q102" i="129" l="1"/>
  <c r="B22" i="119"/>
  <c r="Q103" i="134" l="1"/>
  <c r="Q106" i="134"/>
  <c r="Q105" i="134"/>
  <c r="Q104" i="134"/>
  <c r="Q98" i="134"/>
  <c r="P102" i="133" l="1"/>
  <c r="P103" i="133"/>
  <c r="P101" i="133"/>
  <c r="P106" i="133"/>
  <c r="Q104" i="132" l="1"/>
  <c r="Q103" i="132"/>
  <c r="Q102" i="132"/>
  <c r="Q101" i="132"/>
  <c r="Q104" i="129" l="1"/>
  <c r="P103" i="130" l="1"/>
  <c r="P108" i="130"/>
  <c r="Q107" i="129" l="1"/>
  <c r="P105" i="126" l="1"/>
  <c r="P104" i="126"/>
  <c r="P106" i="126"/>
  <c r="P103" i="126"/>
  <c r="Q98" i="126" l="1"/>
  <c r="P102" i="126"/>
  <c r="R106" i="123" l="1"/>
  <c r="R107" i="123"/>
  <c r="Q102" i="122" l="1"/>
  <c r="Q98" i="121" l="1"/>
  <c r="Q105" i="115" l="1"/>
  <c r="Q104" i="115"/>
  <c r="Q103" i="115"/>
  <c r="Q101" i="115"/>
  <c r="Q106" i="113" l="1"/>
  <c r="Q105" i="113"/>
  <c r="Q104" i="110" l="1"/>
  <c r="P105" i="139" l="1"/>
  <c r="P104" i="139"/>
  <c r="P103" i="139"/>
  <c r="Q98" i="139" l="1"/>
  <c r="Q104" i="137" l="1"/>
  <c r="Q101" i="137"/>
  <c r="Q98" i="137"/>
  <c r="Q98" i="136" l="1"/>
  <c r="P105" i="135" l="1"/>
  <c r="Q98" i="135" l="1"/>
  <c r="P105" i="133" l="1"/>
  <c r="Q98" i="133"/>
  <c r="Q98" i="132" l="1"/>
  <c r="Q98" i="131" l="1"/>
  <c r="P105" i="130" l="1"/>
  <c r="P104" i="130"/>
  <c r="P102" i="130"/>
  <c r="P101" i="130"/>
  <c r="Q98" i="130"/>
  <c r="Q103" i="129" l="1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98" i="124"/>
  <c r="Q98" i="123" l="1"/>
  <c r="Q98" i="122" l="1"/>
  <c r="Q107" i="122"/>
  <c r="Q104" i="122"/>
  <c r="Q105" i="122"/>
  <c r="Q106" i="122"/>
  <c r="P106" i="121" l="1"/>
  <c r="P105" i="121"/>
  <c r="P101" i="121"/>
  <c r="Q106" i="120" l="1"/>
  <c r="Q105" i="120"/>
  <c r="Q104" i="120"/>
  <c r="Q102" i="120"/>
  <c r="Q107" i="119" l="1"/>
  <c r="Q106" i="119"/>
  <c r="Q105" i="119"/>
  <c r="Q103" i="119"/>
  <c r="P108" i="118" l="1"/>
  <c r="P107" i="118"/>
  <c r="P105" i="118"/>
  <c r="Q98" i="118"/>
  <c r="Q98" i="117" l="1"/>
  <c r="P106" i="116" l="1"/>
  <c r="P105" i="116"/>
  <c r="P104" i="116"/>
  <c r="P103" i="116"/>
  <c r="P102" i="116"/>
  <c r="P101" i="116"/>
  <c r="Q98" i="116"/>
  <c r="Q98" i="115" l="1"/>
  <c r="Q98" i="114" l="1"/>
  <c r="Q98" i="112" l="1"/>
  <c r="Q106" i="111" l="1"/>
  <c r="Q105" i="111"/>
  <c r="Q104" i="111"/>
  <c r="Q103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B43" i="139"/>
  <c r="L43" i="139" s="1"/>
  <c r="B52" i="139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L44" i="138"/>
  <c r="L43" i="138"/>
  <c r="B43" i="138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L38" i="138"/>
  <c r="B38" i="138"/>
  <c r="B44" i="138" s="1"/>
  <c r="L37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L36" i="137"/>
  <c r="L35" i="137"/>
  <c r="B35" i="137"/>
  <c r="L34" i="137"/>
  <c r="B34" i="137"/>
  <c r="J34" i="137" s="1"/>
  <c r="L33" i="137"/>
  <c r="J33" i="137"/>
  <c r="L32" i="137"/>
  <c r="B32" i="137"/>
  <c r="J32" i="137" s="1"/>
  <c r="L31" i="137"/>
  <c r="J31" i="137"/>
  <c r="L30" i="137"/>
  <c r="B30" i="137"/>
  <c r="B36" i="137" s="1"/>
  <c r="L29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H79" i="134"/>
  <c r="X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L44" i="134"/>
  <c r="L43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L38" i="134"/>
  <c r="B38" i="134"/>
  <c r="B44" i="134" s="1"/>
  <c r="L37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L44" i="133"/>
  <c r="L43" i="133"/>
  <c r="B43" i="133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L38" i="133"/>
  <c r="B38" i="133"/>
  <c r="B44" i="133" s="1"/>
  <c r="L37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L38" i="132" s="1"/>
  <c r="J37" i="132"/>
  <c r="B35" i="132"/>
  <c r="L34" i="132"/>
  <c r="B34" i="132"/>
  <c r="J34" i="132" s="1"/>
  <c r="L33" i="132"/>
  <c r="J33" i="132"/>
  <c r="L32" i="132"/>
  <c r="B32" i="132"/>
  <c r="J32" i="132" s="1"/>
  <c r="L31" i="132"/>
  <c r="J31" i="132"/>
  <c r="B30" i="132"/>
  <c r="B36" i="132" s="1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L30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14" i="129"/>
  <c r="B20" i="129" s="1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L44" i="127"/>
  <c r="L43" i="127"/>
  <c r="B43" i="127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L38" i="127"/>
  <c r="B38" i="127"/>
  <c r="B44" i="127" s="1"/>
  <c r="L37" i="127"/>
  <c r="J37" i="127"/>
  <c r="L36" i="127"/>
  <c r="L35" i="127"/>
  <c r="B35" i="127"/>
  <c r="L34" i="127"/>
  <c r="B34" i="127"/>
  <c r="J34" i="127" s="1"/>
  <c r="L33" i="127"/>
  <c r="J33" i="127"/>
  <c r="L32" i="127"/>
  <c r="B32" i="127"/>
  <c r="J32" i="127" s="1"/>
  <c r="L31" i="127"/>
  <c r="J31" i="127"/>
  <c r="L30" i="127"/>
  <c r="B30" i="127"/>
  <c r="B36" i="127" s="1"/>
  <c r="L29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B44" i="126" s="1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B51" i="125" s="1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Y78" i="125" s="1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B44" i="125" s="1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L36" i="124"/>
  <c r="L35" i="124"/>
  <c r="B35" i="124"/>
  <c r="L34" i="124"/>
  <c r="B34" i="124"/>
  <c r="J34" i="124" s="1"/>
  <c r="L33" i="124"/>
  <c r="J33" i="124"/>
  <c r="L32" i="124"/>
  <c r="B32" i="124"/>
  <c r="J32" i="124" s="1"/>
  <c r="L31" i="124"/>
  <c r="J31" i="124"/>
  <c r="L30" i="124"/>
  <c r="B30" i="124"/>
  <c r="B36" i="124" s="1"/>
  <c r="L29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L44" i="123"/>
  <c r="L43" i="123"/>
  <c r="B43" i="123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L38" i="123"/>
  <c r="B38" i="123"/>
  <c r="B44" i="123" s="1"/>
  <c r="L37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L44" i="122"/>
  <c r="L43" i="122"/>
  <c r="B43" i="122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L38" i="122"/>
  <c r="B38" i="122"/>
  <c r="B44" i="122" s="1"/>
  <c r="L37" i="122"/>
  <c r="J37" i="122"/>
  <c r="B35" i="122"/>
  <c r="L34" i="122"/>
  <c r="B34" i="122"/>
  <c r="J34" i="122" s="1"/>
  <c r="L33" i="122"/>
  <c r="J33" i="122"/>
  <c r="B32" i="122"/>
  <c r="J32" i="122" s="1"/>
  <c r="J31" i="122"/>
  <c r="L30" i="122"/>
  <c r="B36" i="122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X10" i="122"/>
  <c r="V10" i="122"/>
  <c r="U10" i="122"/>
  <c r="Z98" i="12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L44" i="119"/>
  <c r="L43" i="119"/>
  <c r="B43" i="119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L38" i="119"/>
  <c r="B38" i="119"/>
  <c r="B44" i="119" s="1"/>
  <c r="L37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H46" i="116"/>
  <c r="L45" i="116"/>
  <c r="J45" i="116"/>
  <c r="L44" i="116"/>
  <c r="L43" i="116"/>
  <c r="B43" i="116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L38" i="116"/>
  <c r="B38" i="116"/>
  <c r="B44" i="116" s="1"/>
  <c r="L37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L30" i="116"/>
  <c r="B30" i="116"/>
  <c r="B36" i="116" s="1"/>
  <c r="L29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H79" i="115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L44" i="115"/>
  <c r="L43" i="115"/>
  <c r="B43" i="115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L38" i="115"/>
  <c r="B38" i="115"/>
  <c r="B44" i="115" s="1"/>
  <c r="L37" i="115"/>
  <c r="J37" i="115"/>
  <c r="L36" i="115"/>
  <c r="L35" i="115"/>
  <c r="B35" i="115"/>
  <c r="L34" i="115"/>
  <c r="B34" i="115"/>
  <c r="J34" i="115" s="1"/>
  <c r="L33" i="115"/>
  <c r="J33" i="115"/>
  <c r="L32" i="115"/>
  <c r="B32" i="115"/>
  <c r="J32" i="115" s="1"/>
  <c r="L31" i="115"/>
  <c r="J31" i="115"/>
  <c r="L30" i="115"/>
  <c r="B30" i="115"/>
  <c r="B36" i="115" s="1"/>
  <c r="L29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B51" i="112" s="1"/>
  <c r="J51" i="112" s="1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L44" i="112"/>
  <c r="L43" i="112"/>
  <c r="B43" i="112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L38" i="112"/>
  <c r="B38" i="112"/>
  <c r="B44" i="112" s="1"/>
  <c r="L37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8" i="111" s="1"/>
  <c r="T75" i="111"/>
  <c r="B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B47" i="111" s="1"/>
  <c r="J47" i="111" s="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H46" i="111"/>
  <c r="L45" i="111"/>
  <c r="J45" i="111"/>
  <c r="L44" i="111"/>
  <c r="L43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L38" i="111"/>
  <c r="B38" i="111"/>
  <c r="B44" i="111" s="1"/>
  <c r="L37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L44" i="110"/>
  <c r="L43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L38" i="110"/>
  <c r="B38" i="110"/>
  <c r="B44" i="110" s="1"/>
  <c r="L37" i="110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B36" i="134" l="1"/>
  <c r="L36" i="134" s="1"/>
  <c r="L30" i="134"/>
  <c r="J56" i="111"/>
  <c r="F56" i="111"/>
  <c r="D56" i="111"/>
  <c r="B36" i="131"/>
  <c r="L36" i="131" s="1"/>
  <c r="L30" i="131"/>
  <c r="J50" i="116"/>
  <c r="B44" i="139"/>
  <c r="L44" i="139" s="1"/>
  <c r="L38" i="139"/>
  <c r="B36" i="139"/>
  <c r="L36" i="139" s="1"/>
  <c r="L30" i="139"/>
  <c r="B44" i="132"/>
  <c r="L44" i="132" s="1"/>
  <c r="B44" i="131"/>
  <c r="L44" i="131" s="1"/>
  <c r="L38" i="131"/>
  <c r="B36" i="136"/>
  <c r="L36" i="136" s="1"/>
  <c r="L30" i="136"/>
  <c r="B44" i="135"/>
  <c r="L44" i="135" s="1"/>
  <c r="L38" i="135"/>
  <c r="B36" i="135"/>
  <c r="L36" i="135" s="1"/>
  <c r="L30" i="135"/>
  <c r="B44" i="124"/>
  <c r="L44" i="124" s="1"/>
  <c r="L38" i="124"/>
  <c r="B36" i="121"/>
  <c r="L36" i="121" s="1"/>
  <c r="L30" i="121"/>
  <c r="B44" i="121"/>
  <c r="L44" i="121" s="1"/>
  <c r="L38" i="121"/>
  <c r="B20" i="120"/>
  <c r="C19" i="109" s="1"/>
  <c r="B36" i="125"/>
  <c r="J36" i="125" s="1"/>
  <c r="B44" i="118"/>
  <c r="L44" i="118" s="1"/>
  <c r="L38" i="118"/>
  <c r="B36" i="118"/>
  <c r="L36" i="118" s="1"/>
  <c r="L30" i="118"/>
  <c r="B51" i="120"/>
  <c r="J51" i="120" s="1"/>
  <c r="B51" i="123"/>
  <c r="J51" i="123" s="1"/>
  <c r="B51" i="127"/>
  <c r="J51" i="127" s="1"/>
  <c r="B20" i="133"/>
  <c r="C32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J51" i="125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I11" i="109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J19" i="115"/>
  <c r="B14" i="109"/>
  <c r="J36" i="115"/>
  <c r="G14" i="109"/>
  <c r="J35" i="115"/>
  <c r="F14" i="109"/>
  <c r="J43" i="115"/>
  <c r="H14" i="109"/>
  <c r="J28" i="116"/>
  <c r="E15" i="109"/>
  <c r="J27" i="116"/>
  <c r="D15" i="109"/>
  <c r="J44" i="116"/>
  <c r="I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G20" i="109"/>
  <c r="J35" i="121"/>
  <c r="F20" i="109"/>
  <c r="J43" i="121"/>
  <c r="H20" i="109"/>
  <c r="J28" i="122"/>
  <c r="E21" i="109"/>
  <c r="J27" i="122"/>
  <c r="D21" i="109"/>
  <c r="J44" i="122"/>
  <c r="I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J35" i="131"/>
  <c r="F30" i="109"/>
  <c r="J43" i="131"/>
  <c r="H30" i="109"/>
  <c r="J28" i="132"/>
  <c r="E31" i="109"/>
  <c r="J27" i="132"/>
  <c r="D31" i="109"/>
  <c r="J44" i="132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6" i="135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6" i="137"/>
  <c r="G36" i="109"/>
  <c r="J35" i="137"/>
  <c r="F36" i="109"/>
  <c r="J43" i="137"/>
  <c r="H36" i="109"/>
  <c r="J28" i="138"/>
  <c r="E37" i="109"/>
  <c r="J27" i="138"/>
  <c r="D37" i="109"/>
  <c r="J44" i="138"/>
  <c r="I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I10" i="109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19" i="114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6" i="116"/>
  <c r="G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J44" i="123"/>
  <c r="I22" i="109"/>
  <c r="X98" i="123"/>
  <c r="J19" i="124"/>
  <c r="B23" i="109"/>
  <c r="J36" i="124"/>
  <c r="G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44" i="127"/>
  <c r="I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J19" i="132"/>
  <c r="B31" i="109"/>
  <c r="J36" i="132"/>
  <c r="G31" i="109"/>
  <c r="J35" i="132"/>
  <c r="F31" i="109"/>
  <c r="J43" i="132"/>
  <c r="H31" i="109"/>
  <c r="J28" i="133"/>
  <c r="E32" i="109"/>
  <c r="J27" i="133"/>
  <c r="D32" i="109"/>
  <c r="J44" i="133"/>
  <c r="I32" i="109"/>
  <c r="J19" i="134"/>
  <c r="B33" i="109"/>
  <c r="J36" i="134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G52" i="132" s="1"/>
  <c r="L52" i="132" s="1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Z16" i="129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98" i="125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D56" i="118"/>
  <c r="F56" i="118"/>
  <c r="D58" i="118"/>
  <c r="F58" i="118" s="1"/>
  <c r="F60" i="118"/>
  <c r="G60" i="118" s="1"/>
  <c r="L60" i="118" s="1"/>
  <c r="T98" i="118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B65" i="112"/>
  <c r="B71" i="112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8" i="111"/>
  <c r="F58" i="111" s="1"/>
  <c r="F60" i="111"/>
  <c r="G60" i="111" s="1"/>
  <c r="L60" i="111" s="1"/>
  <c r="T98" i="11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G33" i="109" l="1"/>
  <c r="E39" i="109"/>
  <c r="J20" i="114"/>
  <c r="G56" i="111"/>
  <c r="J36" i="136"/>
  <c r="I34" i="109"/>
  <c r="I31" i="109"/>
  <c r="G30" i="109"/>
  <c r="G24" i="109"/>
  <c r="J44" i="124"/>
  <c r="J20" i="120"/>
  <c r="B65" i="116"/>
  <c r="B71" i="116" s="1"/>
  <c r="G35" i="109"/>
  <c r="I30" i="109"/>
  <c r="I20" i="109"/>
  <c r="J36" i="121"/>
  <c r="J36" i="118"/>
  <c r="I17" i="109"/>
  <c r="J44" i="135"/>
  <c r="G34" i="109"/>
  <c r="I23" i="109"/>
  <c r="D51" i="120"/>
  <c r="F51" i="120" s="1"/>
  <c r="J20" i="133"/>
  <c r="J44" i="130"/>
  <c r="D51" i="127"/>
  <c r="F51" i="127" s="1"/>
  <c r="B65" i="123"/>
  <c r="B71" i="123" s="1"/>
  <c r="G17" i="109"/>
  <c r="J44" i="118"/>
  <c r="I13" i="109"/>
  <c r="I12" i="109"/>
  <c r="B65" i="127"/>
  <c r="B71" i="127" s="1"/>
  <c r="D51" i="123"/>
  <c r="F51" i="123" s="1"/>
  <c r="D51" i="116"/>
  <c r="F51" i="116" s="1"/>
  <c r="J44" i="113"/>
  <c r="G56" i="137"/>
  <c r="L56" i="137" s="1"/>
  <c r="G54" i="111"/>
  <c r="G55" i="118"/>
  <c r="G52" i="124"/>
  <c r="G52" i="117"/>
  <c r="L52" i="117" s="1"/>
  <c r="G53" i="132"/>
  <c r="C32" i="140" s="1"/>
  <c r="H32" i="140" s="1"/>
  <c r="G29" i="109"/>
  <c r="D50" i="121"/>
  <c r="F50" i="121" s="1"/>
  <c r="G54" i="112"/>
  <c r="X75" i="111"/>
  <c r="G53" i="135"/>
  <c r="C35" i="140" s="1"/>
  <c r="H35" i="140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G56" i="122"/>
  <c r="L56" i="122" s="1"/>
  <c r="B65" i="118"/>
  <c r="D51" i="117"/>
  <c r="F51" i="117" s="1"/>
  <c r="G56" i="116"/>
  <c r="C16" i="143" s="1"/>
  <c r="H16" i="143" s="1"/>
  <c r="B65" i="110"/>
  <c r="B71" i="110" s="1"/>
  <c r="D51" i="138"/>
  <c r="F51" i="138" s="1"/>
  <c r="D51" i="137"/>
  <c r="F51" i="137" s="1"/>
  <c r="D50" i="137"/>
  <c r="F50" i="137" s="1"/>
  <c r="B65" i="137"/>
  <c r="G56" i="127"/>
  <c r="C27" i="143" s="1"/>
  <c r="H27" i="143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L56" i="110" s="1"/>
  <c r="L56" i="11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G53" i="138"/>
  <c r="L53" i="138" s="1"/>
  <c r="X75" i="138"/>
  <c r="G49" i="138"/>
  <c r="B38" i="143" s="1"/>
  <c r="G48" i="138"/>
  <c r="B38" i="142" s="1"/>
  <c r="G47" i="138"/>
  <c r="L47" i="138" s="1"/>
  <c r="G56" i="123"/>
  <c r="L56" i="123" s="1"/>
  <c r="G55" i="130"/>
  <c r="G54" i="130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G58" i="138"/>
  <c r="L58" i="138" s="1"/>
  <c r="G54" i="137"/>
  <c r="G53" i="137"/>
  <c r="C37" i="140" s="1"/>
  <c r="H37" i="140" s="1"/>
  <c r="X75" i="137"/>
  <c r="G49" i="137"/>
  <c r="B37" i="143" s="1"/>
  <c r="G48" i="137"/>
  <c r="G47" i="137"/>
  <c r="L47" i="137" s="1"/>
  <c r="G50" i="136"/>
  <c r="L50" i="136" s="1"/>
  <c r="G47" i="136"/>
  <c r="B36" i="140" s="1"/>
  <c r="G56" i="136"/>
  <c r="L56" i="136" s="1"/>
  <c r="G54" i="136"/>
  <c r="G53" i="136"/>
  <c r="D50" i="135"/>
  <c r="F50" i="135" s="1"/>
  <c r="B65" i="135"/>
  <c r="B71" i="135" s="1"/>
  <c r="G55" i="133"/>
  <c r="G54" i="133"/>
  <c r="G53" i="133"/>
  <c r="L53" i="133" s="1"/>
  <c r="G55" i="13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G48" i="128"/>
  <c r="G47" i="128"/>
  <c r="B28" i="140" s="1"/>
  <c r="G54" i="127"/>
  <c r="G53" i="127"/>
  <c r="L53" i="127" s="1"/>
  <c r="X75" i="127"/>
  <c r="G50" i="127"/>
  <c r="B27" i="141" s="1"/>
  <c r="G49" i="127"/>
  <c r="B27" i="143" s="1"/>
  <c r="G48" i="127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C10" i="140" s="1"/>
  <c r="H10" i="140" s="1"/>
  <c r="G49" i="111"/>
  <c r="L49" i="111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G48" i="120"/>
  <c r="L48" i="120" s="1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C32" i="34"/>
  <c r="H32" i="34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G54" i="116"/>
  <c r="G53" i="121"/>
  <c r="L53" i="121" s="1"/>
  <c r="G55" i="125"/>
  <c r="G54" i="125"/>
  <c r="G53" i="125"/>
  <c r="C25" i="140" s="1"/>
  <c r="H25" i="140" s="1"/>
  <c r="G49" i="125"/>
  <c r="L49" i="125" s="1"/>
  <c r="G48" i="125"/>
  <c r="B25" i="142" s="1"/>
  <c r="G47" i="125"/>
  <c r="B25" i="140" s="1"/>
  <c r="G56" i="124"/>
  <c r="C24" i="143" s="1"/>
  <c r="H24" i="143" s="1"/>
  <c r="G55" i="124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5" i="123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G53" i="122"/>
  <c r="C22" i="140" s="1"/>
  <c r="H22" i="140" s="1"/>
  <c r="G49" i="122"/>
  <c r="B22" i="143" s="1"/>
  <c r="G48" i="122"/>
  <c r="G47" i="122"/>
  <c r="B22" i="140" s="1"/>
  <c r="B65" i="122"/>
  <c r="B71" i="122" s="1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B71" i="120" s="1"/>
  <c r="G51" i="120"/>
  <c r="C20" i="141" s="1"/>
  <c r="G53" i="120"/>
  <c r="C20" i="140" s="1"/>
  <c r="H20" i="140" s="1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L48" i="119" s="1"/>
  <c r="G47" i="119"/>
  <c r="L47" i="119" s="1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1" i="140"/>
  <c r="H11" i="140" s="1"/>
  <c r="L53" i="114"/>
  <c r="C17" i="140"/>
  <c r="H17" i="140" s="1"/>
  <c r="L53" i="125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L54" i="135"/>
  <c r="C35" i="142"/>
  <c r="H35" i="142" s="1"/>
  <c r="L53" i="136"/>
  <c r="C36" i="140"/>
  <c r="H36" i="140" s="1"/>
  <c r="L53" i="137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0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L54" i="122"/>
  <c r="C22" i="142"/>
  <c r="H22" i="142" s="1"/>
  <c r="L48" i="122"/>
  <c r="B22" i="142"/>
  <c r="L54" i="123"/>
  <c r="C23" i="142"/>
  <c r="H23" i="142" s="1"/>
  <c r="B23" i="142"/>
  <c r="L54" i="124"/>
  <c r="C24" i="142"/>
  <c r="H24" i="142" s="1"/>
  <c r="B24" i="142"/>
  <c r="L54" i="125"/>
  <c r="C25" i="142"/>
  <c r="H25" i="142" s="1"/>
  <c r="L54" i="126"/>
  <c r="C26" i="142"/>
  <c r="H26" i="142" s="1"/>
  <c r="B26" i="142"/>
  <c r="L54" i="127"/>
  <c r="C27" i="142"/>
  <c r="H27" i="142" s="1"/>
  <c r="L48" i="127"/>
  <c r="B27" i="142"/>
  <c r="L54" i="128"/>
  <c r="C28" i="142"/>
  <c r="H28" i="142" s="1"/>
  <c r="L48" i="128"/>
  <c r="B28" i="142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3"/>
  <c r="H36" i="143" s="1"/>
  <c r="L54" i="136"/>
  <c r="C36" i="142"/>
  <c r="H36" i="142" s="1"/>
  <c r="L48" i="136"/>
  <c r="L54" i="137"/>
  <c r="C37" i="142"/>
  <c r="H37" i="142" s="1"/>
  <c r="L48" i="137"/>
  <c r="B37" i="142"/>
  <c r="L54" i="138"/>
  <c r="C38" i="142"/>
  <c r="H38" i="142" s="1"/>
  <c r="L56" i="139"/>
  <c r="L54" i="139"/>
  <c r="C39" i="142"/>
  <c r="H39" i="142" s="1"/>
  <c r="L48" i="139"/>
  <c r="B39" i="142"/>
  <c r="L47" i="139"/>
  <c r="B39" i="140"/>
  <c r="L54" i="110"/>
  <c r="C10" i="142"/>
  <c r="H10" i="142" s="1"/>
  <c r="L48" i="110"/>
  <c r="B10" i="142"/>
  <c r="L54" i="111"/>
  <c r="C11" i="142"/>
  <c r="H11" i="142" s="1"/>
  <c r="L48" i="111"/>
  <c r="L54" i="112"/>
  <c r="C12" i="142"/>
  <c r="H12" i="142" s="1"/>
  <c r="L54" i="113"/>
  <c r="C13" i="142"/>
  <c r="H13" i="142" s="1"/>
  <c r="L48" i="113"/>
  <c r="L54" i="114"/>
  <c r="C14" i="142"/>
  <c r="H14" i="142" s="1"/>
  <c r="L48" i="114"/>
  <c r="L54" i="115"/>
  <c r="C15" i="142"/>
  <c r="H15" i="142" s="1"/>
  <c r="L48" i="115"/>
  <c r="B15" i="142"/>
  <c r="L54" i="116"/>
  <c r="C16" i="142"/>
  <c r="H16" i="142" s="1"/>
  <c r="L54" i="117"/>
  <c r="C17" i="142"/>
  <c r="H17" i="142" s="1"/>
  <c r="B17" i="142"/>
  <c r="L54" i="118"/>
  <c r="C18" i="142"/>
  <c r="H18" i="142" s="1"/>
  <c r="L48" i="118"/>
  <c r="L54" i="119"/>
  <c r="C19" i="142"/>
  <c r="H19" i="142" s="1"/>
  <c r="L54" i="120"/>
  <c r="C20" i="142"/>
  <c r="H20" i="142" s="1"/>
  <c r="B20" i="142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C17" i="34"/>
  <c r="H17" i="34" s="1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H69" i="123" s="1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C30" i="140"/>
  <c r="H30" i="140" s="1"/>
  <c r="L55" i="131"/>
  <c r="D31" i="141"/>
  <c r="J31" i="141" s="1"/>
  <c r="L53" i="131"/>
  <c r="L55" i="132"/>
  <c r="D32" i="141"/>
  <c r="J32" i="141" s="1"/>
  <c r="L53" i="132"/>
  <c r="L55" i="133"/>
  <c r="D33" i="141"/>
  <c r="J33" i="141" s="1"/>
  <c r="L55" i="134"/>
  <c r="D34" i="141"/>
  <c r="J34" i="141" s="1"/>
  <c r="L53" i="134"/>
  <c r="L55" i="135"/>
  <c r="D35" i="141"/>
  <c r="J35" i="141" s="1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H69" i="136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H69" i="133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H69" i="128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H69" i="127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H69" i="118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H69" i="114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H69" i="113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H69" i="111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H69" i="110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B38" i="40"/>
  <c r="J38" i="40" s="1"/>
  <c r="B43" i="40"/>
  <c r="L43" i="40" s="1"/>
  <c r="B35" i="40"/>
  <c r="B34" i="40"/>
  <c r="J34" i="40" s="1"/>
  <c r="B32" i="40"/>
  <c r="J32" i="40" s="1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C37" i="143" l="1"/>
  <c r="H37" i="143" s="1"/>
  <c r="L56" i="134"/>
  <c r="B28" i="143"/>
  <c r="D28" i="143" s="1"/>
  <c r="L49" i="128"/>
  <c r="C26" i="143"/>
  <c r="H26" i="143" s="1"/>
  <c r="L48" i="138"/>
  <c r="G51" i="136"/>
  <c r="C36" i="141" s="1"/>
  <c r="L56" i="124"/>
  <c r="G51" i="115"/>
  <c r="C15" i="141" s="1"/>
  <c r="C12" i="143"/>
  <c r="H12" i="143" s="1"/>
  <c r="L48" i="116"/>
  <c r="G51" i="111"/>
  <c r="L51" i="111" s="1"/>
  <c r="L49" i="138"/>
  <c r="L56" i="129"/>
  <c r="F61" i="127"/>
  <c r="D61" i="127"/>
  <c r="L49" i="127"/>
  <c r="L56" i="127"/>
  <c r="G51" i="123"/>
  <c r="L51" i="123" s="1"/>
  <c r="G51" i="121"/>
  <c r="C21" i="141" s="1"/>
  <c r="G50" i="121"/>
  <c r="L50" i="121" s="1"/>
  <c r="G51" i="119"/>
  <c r="L51" i="119" s="1"/>
  <c r="G51" i="118"/>
  <c r="C18" i="141" s="1"/>
  <c r="G50" i="117"/>
  <c r="L50" i="117" s="1"/>
  <c r="G51" i="117"/>
  <c r="L51" i="117" s="1"/>
  <c r="L56" i="114"/>
  <c r="C13" i="143"/>
  <c r="H13" i="143" s="1"/>
  <c r="B38" i="140"/>
  <c r="G38" i="140" s="1"/>
  <c r="L48" i="125"/>
  <c r="G51" i="127"/>
  <c r="C27" i="141" s="1"/>
  <c r="F61" i="123"/>
  <c r="C21" i="140"/>
  <c r="H21" i="140" s="1"/>
  <c r="C20" i="143"/>
  <c r="H20" i="143" s="1"/>
  <c r="D61" i="116"/>
  <c r="F61" i="116"/>
  <c r="G51" i="116"/>
  <c r="L51" i="116" s="1"/>
  <c r="L56" i="135"/>
  <c r="C26" i="140"/>
  <c r="H26" i="140" s="1"/>
  <c r="D61" i="123"/>
  <c r="C23" i="143"/>
  <c r="H23" i="143" s="1"/>
  <c r="L53" i="120"/>
  <c r="L56" i="118"/>
  <c r="L49" i="116"/>
  <c r="B16" i="140"/>
  <c r="G16" i="140" s="1"/>
  <c r="C16" i="140"/>
  <c r="H16" i="140" s="1"/>
  <c r="F61" i="134"/>
  <c r="G51" i="133"/>
  <c r="C33" i="141" s="1"/>
  <c r="C27" i="140"/>
  <c r="H27" i="140" s="1"/>
  <c r="L53" i="118"/>
  <c r="L56" i="128"/>
  <c r="L47" i="126"/>
  <c r="G50" i="125"/>
  <c r="L50" i="125" s="1"/>
  <c r="L56" i="125"/>
  <c r="D61" i="125"/>
  <c r="G51" i="125"/>
  <c r="C25" i="141" s="1"/>
  <c r="C24" i="140"/>
  <c r="H24" i="140" s="1"/>
  <c r="L53" i="123"/>
  <c r="D61" i="115"/>
  <c r="L51" i="115"/>
  <c r="C15" i="143"/>
  <c r="H15" i="143" s="1"/>
  <c r="C12" i="140"/>
  <c r="H12" i="140" s="1"/>
  <c r="C33" i="140"/>
  <c r="H33" i="140" s="1"/>
  <c r="L56" i="132"/>
  <c r="G51" i="130"/>
  <c r="C30" i="141" s="1"/>
  <c r="F61" i="125"/>
  <c r="B24" i="140"/>
  <c r="D24" i="140" s="1"/>
  <c r="L49" i="124"/>
  <c r="B23" i="143"/>
  <c r="L53" i="122"/>
  <c r="B21" i="140"/>
  <c r="G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D17" i="140" s="1"/>
  <c r="L56" i="116"/>
  <c r="F61" i="115"/>
  <c r="F61" i="114"/>
  <c r="B14" i="143"/>
  <c r="D14" i="143" s="1"/>
  <c r="D61" i="114"/>
  <c r="G51" i="114"/>
  <c r="L50" i="114"/>
  <c r="L53" i="113"/>
  <c r="L47" i="113"/>
  <c r="L51" i="112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2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F61" i="113"/>
  <c r="G51" i="113"/>
  <c r="L51" i="113" s="1"/>
  <c r="L49" i="112"/>
  <c r="B11" i="143"/>
  <c r="G11" i="143" s="1"/>
  <c r="D61" i="111"/>
  <c r="C11" i="143"/>
  <c r="H11" i="143" s="1"/>
  <c r="B10" i="140"/>
  <c r="D10" i="140" s="1"/>
  <c r="L49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F61" i="122"/>
  <c r="D61" i="122"/>
  <c r="L51" i="120"/>
  <c r="D61" i="120"/>
  <c r="L50" i="119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H69" i="137"/>
  <c r="J71" i="137" s="1"/>
  <c r="D61" i="135"/>
  <c r="H69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69" i="130"/>
  <c r="H74" i="130" s="1"/>
  <c r="D61" i="129"/>
  <c r="F61" i="129"/>
  <c r="G50" i="129"/>
  <c r="L50" i="129" s="1"/>
  <c r="G46" i="129"/>
  <c r="B29" i="34" s="1"/>
  <c r="G29" i="34" s="1"/>
  <c r="G46" i="128"/>
  <c r="G69" i="128" s="1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D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2"/>
  <c r="D20" i="142"/>
  <c r="G20" i="143"/>
  <c r="I19" i="141"/>
  <c r="E19" i="141"/>
  <c r="G18" i="140"/>
  <c r="D18" i="140"/>
  <c r="G18" i="142"/>
  <c r="D18" i="142"/>
  <c r="G17" i="142"/>
  <c r="D17" i="142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G14" i="142"/>
  <c r="D14" i="142"/>
  <c r="I14" i="141"/>
  <c r="E14" i="141"/>
  <c r="G13" i="140"/>
  <c r="D13" i="140"/>
  <c r="G13" i="142"/>
  <c r="D13" i="142"/>
  <c r="I13" i="141"/>
  <c r="E13" i="141"/>
  <c r="G12" i="140"/>
  <c r="D12" i="140"/>
  <c r="D12" i="142"/>
  <c r="G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G38" i="142"/>
  <c r="D38" i="142"/>
  <c r="G38" i="143"/>
  <c r="D38" i="143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G27" i="140"/>
  <c r="D27" i="140"/>
  <c r="G27" i="142"/>
  <c r="D27" i="142"/>
  <c r="G27" i="143"/>
  <c r="D27" i="143"/>
  <c r="I27" i="141"/>
  <c r="E27" i="141"/>
  <c r="G26" i="140"/>
  <c r="D26" i="140"/>
  <c r="G26" i="142"/>
  <c r="D26" i="142"/>
  <c r="G25" i="140"/>
  <c r="D25" i="140"/>
  <c r="G25" i="142"/>
  <c r="D25" i="142"/>
  <c r="G24" i="142"/>
  <c r="D24" i="142"/>
  <c r="G24" i="143"/>
  <c r="D24" i="143"/>
  <c r="I24" i="141"/>
  <c r="E24" i="141"/>
  <c r="G23" i="140"/>
  <c r="D23" i="140"/>
  <c r="G23" i="142"/>
  <c r="D23" i="142"/>
  <c r="G22" i="140"/>
  <c r="D22" i="140"/>
  <c r="G22" i="142"/>
  <c r="D22" i="142"/>
  <c r="G22" i="143"/>
  <c r="G21" i="142"/>
  <c r="D21" i="142"/>
  <c r="G21" i="143"/>
  <c r="D21" i="143"/>
  <c r="J43" i="40"/>
  <c r="H8" i="109"/>
  <c r="H39" i="109" s="1"/>
  <c r="J27" i="40"/>
  <c r="D8" i="109"/>
  <c r="D39" i="109" s="1"/>
  <c r="L49" i="40"/>
  <c r="B9" i="143"/>
  <c r="G10" i="34"/>
  <c r="G14" i="34"/>
  <c r="G46" i="124"/>
  <c r="G46" i="125"/>
  <c r="G31" i="34"/>
  <c r="G32" i="34"/>
  <c r="D32" i="34"/>
  <c r="D33" i="34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G69" i="136"/>
  <c r="L46" i="136"/>
  <c r="H74" i="136"/>
  <c r="J71" i="136"/>
  <c r="AC98" i="135"/>
  <c r="AA75" i="135"/>
  <c r="AA69" i="135"/>
  <c r="AA63" i="135"/>
  <c r="AA42" i="135"/>
  <c r="G69" i="135"/>
  <c r="L46" i="135"/>
  <c r="H74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L46" i="132"/>
  <c r="H74" i="132"/>
  <c r="J71" i="132"/>
  <c r="AC98" i="131"/>
  <c r="AA75" i="131"/>
  <c r="AA69" i="131"/>
  <c r="AA63" i="131"/>
  <c r="AA42" i="131"/>
  <c r="G69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G61" i="112"/>
  <c r="L61" i="112" s="1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H74" i="110"/>
  <c r="J71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H74" i="137" l="1"/>
  <c r="L51" i="136"/>
  <c r="B21" i="141"/>
  <c r="E21" i="141" s="1"/>
  <c r="C11" i="141"/>
  <c r="B40" i="143"/>
  <c r="C17" i="141"/>
  <c r="D13" i="143"/>
  <c r="D12" i="143"/>
  <c r="D39" i="143"/>
  <c r="L51" i="125"/>
  <c r="D23" i="143"/>
  <c r="D20" i="143"/>
  <c r="L51" i="133"/>
  <c r="L50" i="128"/>
  <c r="L51" i="127"/>
  <c r="C23" i="141"/>
  <c r="L51" i="121"/>
  <c r="C19" i="141"/>
  <c r="L51" i="118"/>
  <c r="B17" i="141"/>
  <c r="I17" i="141" s="1"/>
  <c r="G23" i="143"/>
  <c r="D21" i="140"/>
  <c r="B25" i="141"/>
  <c r="I25" i="141" s="1"/>
  <c r="D19" i="140"/>
  <c r="G17" i="140"/>
  <c r="D16" i="140"/>
  <c r="D38" i="140"/>
  <c r="L50" i="133"/>
  <c r="AC78" i="40"/>
  <c r="L51" i="132"/>
  <c r="L51" i="130"/>
  <c r="G24" i="140"/>
  <c r="C22" i="141"/>
  <c r="D22" i="143"/>
  <c r="I18" i="141"/>
  <c r="G18" i="143"/>
  <c r="D15" i="143"/>
  <c r="C13" i="141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69" i="137"/>
  <c r="G74" i="137" s="1"/>
  <c r="G61" i="136"/>
  <c r="L61" i="136" s="1"/>
  <c r="L46" i="133"/>
  <c r="G69" i="133"/>
  <c r="I71" i="133" s="1"/>
  <c r="G61" i="131"/>
  <c r="L61" i="131" s="1"/>
  <c r="J71" i="130"/>
  <c r="L46" i="130"/>
  <c r="G69" i="130"/>
  <c r="G74" i="130" s="1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G69" i="127"/>
  <c r="I71" i="127" s="1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G69" i="123"/>
  <c r="I71" i="123" s="1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G18" i="34"/>
  <c r="G69" i="118"/>
  <c r="I71" i="118" s="1"/>
  <c r="G61" i="118"/>
  <c r="L61" i="118" s="1"/>
  <c r="L46" i="117"/>
  <c r="I71" i="117"/>
  <c r="G61" i="117"/>
  <c r="L61" i="117" s="1"/>
  <c r="G61" i="116"/>
  <c r="L61" i="116" s="1"/>
  <c r="D16" i="34"/>
  <c r="G74" i="116"/>
  <c r="L46" i="114"/>
  <c r="G69" i="114"/>
  <c r="I71" i="114" s="1"/>
  <c r="G61" i="114"/>
  <c r="L61" i="114" s="1"/>
  <c r="G61" i="113"/>
  <c r="L61" i="113" s="1"/>
  <c r="E12" i="141"/>
  <c r="D12" i="34"/>
  <c r="I71" i="112"/>
  <c r="G61" i="111"/>
  <c r="L61" i="111" s="1"/>
  <c r="L46" i="111"/>
  <c r="G69" i="111"/>
  <c r="I71" i="111" s="1"/>
  <c r="L46" i="110"/>
  <c r="G69" i="110"/>
  <c r="I71" i="110" s="1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D9" i="143" s="1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6"/>
  <c r="I71" i="136"/>
  <c r="G74" i="135"/>
  <c r="I71" i="135"/>
  <c r="G74" i="134"/>
  <c r="G74" i="132"/>
  <c r="I71" i="132"/>
  <c r="G74" i="131"/>
  <c r="I71" i="131"/>
  <c r="G74" i="128"/>
  <c r="I71" i="128"/>
  <c r="G74" i="127"/>
  <c r="G74" i="126"/>
  <c r="G74" i="124"/>
  <c r="I71" i="124"/>
  <c r="G74" i="122"/>
  <c r="I71" i="119"/>
  <c r="G74" i="118"/>
  <c r="G74" i="115"/>
  <c r="I71" i="115"/>
  <c r="G74" i="114"/>
  <c r="G74" i="113"/>
  <c r="G64" i="112"/>
  <c r="L64" i="112" s="1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G64" i="138" l="1"/>
  <c r="L64" i="138" s="1"/>
  <c r="G64" i="137"/>
  <c r="L64" i="137" s="1"/>
  <c r="G64" i="136"/>
  <c r="L64" i="136" s="1"/>
  <c r="D40" i="143"/>
  <c r="E17" i="141"/>
  <c r="E25" i="141"/>
  <c r="G58" i="40"/>
  <c r="AC98" i="40"/>
  <c r="G64" i="124"/>
  <c r="L64" i="124" s="1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B40" i="141" s="1"/>
  <c r="D40" i="141"/>
  <c r="J9" i="141"/>
  <c r="C40" i="142"/>
  <c r="H9" i="142"/>
  <c r="L51" i="40"/>
  <c r="C9" i="141"/>
  <c r="C40" i="141" s="1"/>
  <c r="G69" i="40"/>
  <c r="I71" i="40" s="1"/>
  <c r="B9" i="34"/>
  <c r="G52" i="40"/>
  <c r="E34" i="75"/>
  <c r="E27" i="75"/>
  <c r="E37" i="75"/>
  <c r="G74" i="40" l="1"/>
  <c r="C9" i="34"/>
  <c r="H9" i="34" s="1"/>
  <c r="L52" i="40"/>
  <c r="C40" i="34"/>
  <c r="B40" i="34"/>
  <c r="G9" i="34"/>
  <c r="I9" i="141"/>
  <c r="E9" i="141"/>
  <c r="E40" i="141" s="1"/>
  <c r="H69" i="40"/>
  <c r="G61" i="40"/>
  <c r="G64" i="40" s="1"/>
  <c r="B39" i="75"/>
  <c r="B43" i="75" s="1"/>
  <c r="E39" i="75"/>
  <c r="D9" i="34" l="1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POR BIOPAGO 18.33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faltante por consumo del sobrante del dia 2/07/2022 18.33 bs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biopago 20.23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30.52 en biopago</t>
        </r>
      </text>
    </comment>
  </commentList>
</comments>
</file>

<file path=xl/sharedStrings.xml><?xml version="1.0" encoding="utf-8"?>
<sst xmlns="http://schemas.openxmlformats.org/spreadsheetml/2006/main" count="7310" uniqueCount="292">
  <si>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</si>
  <si>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</si>
  <si>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</si>
  <si>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</si>
  <si>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</si>
  <si>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</si>
  <si>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</si>
  <si>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</si>
  <si>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</si>
  <si>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</si>
  <si>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</si>
  <si>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</si>
  <si>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</si>
  <si>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</si>
  <si>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</si>
  <si>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</si>
  <si>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</si>
  <si>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</si>
  <si>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</si>
  <si>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</si>
  <si>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</si>
  <si>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</si>
  <si>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</si>
  <si>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</si>
  <si>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</si>
  <si>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</si>
  <si>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</si>
  <si>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</si>
  <si>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</si>
  <si>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</si>
  <si>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</si>
  <si>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</si>
  <si>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</si>
  <si>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</si>
  <si>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</si>
  <si>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</si>
  <si>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</si>
  <si>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</si>
  <si>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</si>
  <si>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</si>
  <si>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</si>
  <si>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</si>
  <si>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</si>
  <si>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</si>
  <si>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</si>
  <si>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</si>
  <si>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</si>
  <si>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</si>
  <si>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</si>
  <si>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</si>
  <si>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</si>
  <si>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</si>
  <si>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</si>
  <si>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</si>
  <si>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</si>
  <si>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</si>
  <si>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</si>
  <si>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</si>
  <si>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</si>
  <si>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</si>
  <si>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</si>
  <si>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</si>
  <si>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</si>
  <si>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</si>
  <si>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</si>
  <si>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</si>
  <si>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</si>
  <si>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</si>
  <si>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</si>
  <si>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</si>
  <si>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</si>
  <si>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</si>
  <si>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</si>
  <si>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</si>
  <si>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</si>
  <si>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</si>
  <si>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</si>
  <si>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</si>
  <si>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</si>
  <si>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</si>
  <si>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</si>
  <si>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</si>
  <si>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</si>
  <si>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</si>
  <si>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</si>
  <si>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</si>
  <si>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</si>
  <si>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</si>
  <si>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</si>
  <si>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</si>
  <si>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</si>
  <si>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</si>
  <si>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</si>
  <si>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</si>
  <si>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</si>
  <si>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</si>
  <si>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</si>
  <si>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</si>
  <si>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</si>
  <si>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</si>
  <si>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</si>
  <si>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</si>
  <si>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</si>
  <si>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</si>
  <si>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</si>
  <si>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</si>
  <si>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</si>
  <si>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</si>
  <si>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</si>
  <si>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</si>
  <si>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</si>
  <si>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</si>
  <si>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</si>
  <si>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</si>
  <si>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</si>
  <si>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</si>
  <si>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</si>
  <si>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</si>
  <si>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</si>
  <si>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</si>
  <si>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</si>
  <si>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</si>
  <si>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</si>
  <si>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</si>
  <si>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</si>
  <si>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</si>
  <si>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</si>
  <si>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</si>
  <si>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</si>
  <si>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</si>
  <si>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</si>
  <si>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</si>
  <si>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</si>
  <si>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</si>
  <si>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</si>
  <si>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</si>
  <si>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</si>
  <si>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</si>
  <si>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</si>
  <si>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</si>
  <si>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</si>
  <si>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</si>
  <si>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</si>
  <si>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</si>
  <si>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</si>
  <si>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</si>
  <si>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</si>
  <si>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</si>
  <si>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</si>
  <si>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</si>
  <si>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</si>
  <si>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</si>
  <si>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</si>
  <si>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</si>
  <si>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</si>
  <si>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</si>
  <si>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</si>
  <si>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</si>
  <si>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</si>
  <si>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</si>
  <si>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</si>
  <si>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</si>
  <si>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</si>
  <si>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</si>
  <si>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</si>
  <si>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</si>
  <si>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</si>
  <si>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</si>
  <si>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</si>
  <si>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Distribuidora de Alimentos evora C.A</t>
  </si>
  <si>
    <t xml:space="preserve">EXPRESS SAN PEDRO </t>
  </si>
  <si>
    <t xml:space="preserve">PAGO MOVIL </t>
  </si>
  <si>
    <t xml:space="preserve">BANCRECER EVORA </t>
  </si>
  <si>
    <t>DEB.BANCRECER</t>
  </si>
  <si>
    <t>CRED.BANCRECER</t>
  </si>
  <si>
    <t>PAGO MOVIL</t>
  </si>
  <si>
    <t>BANCRECER EVORA</t>
  </si>
  <si>
    <t>DEB. BANCRECER</t>
  </si>
  <si>
    <t>TOTAL PAGO MOVIL</t>
  </si>
  <si>
    <t>TOTAL BANCRECER</t>
  </si>
  <si>
    <t>Bancrecer evora</t>
  </si>
  <si>
    <t>pago movil</t>
  </si>
  <si>
    <t>bancrecer evora</t>
  </si>
  <si>
    <t>CRED. Bancrecer</t>
  </si>
  <si>
    <t xml:space="preserve">bancrecer evora  </t>
  </si>
  <si>
    <t xml:space="preserve">Bancrecer evora </t>
  </si>
  <si>
    <t>DISTRIBUIDORA DE ALIMENTO EVORA ( SAN PEDRO )</t>
  </si>
  <si>
    <t>CRED. BANCRECER</t>
  </si>
  <si>
    <t>DISTRIBUIDORA DE ALIMENTOS EVORA ( SAN PEDRO )</t>
  </si>
  <si>
    <t xml:space="preserve">CRED. BANCRECER </t>
  </si>
  <si>
    <t>PAGO MOVIL B/CRECER</t>
  </si>
  <si>
    <t xml:space="preserve">TOTAL PAGO MOVIL </t>
  </si>
  <si>
    <t xml:space="preserve">CRED.BANCAMIGA </t>
  </si>
  <si>
    <t>PAGO MOVIL EXPRES</t>
  </si>
  <si>
    <t xml:space="preserve">DEB.BANCRECER </t>
  </si>
  <si>
    <t>PAGO MOVIL EXPRESS</t>
  </si>
  <si>
    <t>VENEZUELA MODELO</t>
  </si>
  <si>
    <t xml:space="preserve">bancrecer evora </t>
  </si>
  <si>
    <t>RESUMEN BANCRECER</t>
  </si>
  <si>
    <t>CRE.BANCRECER</t>
  </si>
  <si>
    <t xml:space="preserve">pago movil </t>
  </si>
  <si>
    <t>pago movil express</t>
  </si>
  <si>
    <t>BANESCO express.</t>
  </si>
  <si>
    <t>DEB. Bancrecer</t>
  </si>
  <si>
    <t>BANESCO express</t>
  </si>
  <si>
    <t xml:space="preserve">  </t>
  </si>
  <si>
    <t>DEB.BANCrecer</t>
  </si>
  <si>
    <t>pago movil EXPRES</t>
  </si>
  <si>
    <t>pago movil EVORA</t>
  </si>
  <si>
    <t>bancamica modelo</t>
  </si>
  <si>
    <t>CRED. BANCAMIGA</t>
  </si>
  <si>
    <t>DEB. BANCAMIGA//B.CRECER</t>
  </si>
  <si>
    <t>Bancamiga modelo</t>
  </si>
  <si>
    <t>DEB. BANCAMIGA/BCRECER</t>
  </si>
  <si>
    <t xml:space="preserve">bancamiga modelo </t>
  </si>
  <si>
    <t>DEB. Bancamiga</t>
  </si>
  <si>
    <t>BANCAMIGA MODELO</t>
  </si>
  <si>
    <t>PAGO MOVIL MODELO</t>
  </si>
  <si>
    <t>DEB. BANCAMIGA</t>
  </si>
  <si>
    <t>bancamiga modelo</t>
  </si>
  <si>
    <t>DEB. Bancamiga /bancrecer</t>
  </si>
  <si>
    <t xml:space="preserve">BANCAMIGA MODELO </t>
  </si>
  <si>
    <t>bancamiga  model9</t>
  </si>
  <si>
    <t>bancamiga  model10</t>
  </si>
  <si>
    <t>CRED. Bancamiga</t>
  </si>
  <si>
    <t xml:space="preserve">DEB. Bancamiga </t>
  </si>
  <si>
    <t>86//207</t>
  </si>
  <si>
    <t>85//103//104</t>
  </si>
  <si>
    <t>21//702//99</t>
  </si>
  <si>
    <t>22//703//697</t>
  </si>
  <si>
    <t>23//704</t>
  </si>
  <si>
    <t>698//705</t>
  </si>
  <si>
    <t>700//701</t>
  </si>
  <si>
    <t>24//706</t>
  </si>
  <si>
    <t>107//707</t>
  </si>
  <si>
    <t>109//225</t>
  </si>
  <si>
    <t>226//110</t>
  </si>
  <si>
    <t>711//712</t>
  </si>
  <si>
    <t>704//705</t>
  </si>
  <si>
    <t>112//229</t>
  </si>
  <si>
    <t>210//111</t>
  </si>
  <si>
    <t>27//706</t>
  </si>
  <si>
    <t>707//714</t>
  </si>
  <si>
    <t>89//231</t>
  </si>
  <si>
    <t>709//715</t>
  </si>
  <si>
    <t>708//716</t>
  </si>
  <si>
    <t>30//711</t>
  </si>
  <si>
    <t>710//717</t>
  </si>
  <si>
    <t>29//718</t>
  </si>
  <si>
    <t>90//115</t>
  </si>
  <si>
    <t>213//235//236</t>
  </si>
  <si>
    <t>31//712//719//720</t>
  </si>
  <si>
    <t>32//714//713//31</t>
  </si>
  <si>
    <t>33//721</t>
  </si>
  <si>
    <t>34//6//722</t>
  </si>
  <si>
    <t>715//116</t>
  </si>
  <si>
    <t>36//716</t>
  </si>
  <si>
    <t>116//38</t>
  </si>
  <si>
    <t>35//723</t>
  </si>
  <si>
    <t>37//718</t>
  </si>
  <si>
    <t>38//724</t>
  </si>
  <si>
    <t>717//725</t>
  </si>
  <si>
    <t>93//217</t>
  </si>
  <si>
    <t>39//726</t>
  </si>
  <si>
    <t>720//727</t>
  </si>
  <si>
    <t>94//120</t>
  </si>
  <si>
    <t>40//728</t>
  </si>
  <si>
    <t>721//729</t>
  </si>
  <si>
    <t>216//246</t>
  </si>
  <si>
    <t>725//732</t>
  </si>
  <si>
    <t>44//733</t>
  </si>
  <si>
    <t>121//245</t>
  </si>
  <si>
    <t>723//724</t>
  </si>
  <si>
    <t>42//730</t>
  </si>
  <si>
    <t>41//731</t>
  </si>
  <si>
    <t>45//734</t>
  </si>
  <si>
    <t>728//727</t>
  </si>
  <si>
    <t>48//735</t>
  </si>
  <si>
    <t>221//250</t>
  </si>
  <si>
    <t>736//737</t>
  </si>
  <si>
    <t>731//732//738</t>
  </si>
  <si>
    <t>50//739</t>
  </si>
  <si>
    <t>253//125</t>
  </si>
  <si>
    <t>733//734</t>
  </si>
  <si>
    <t>740//741</t>
  </si>
  <si>
    <t>51//743</t>
  </si>
  <si>
    <t>8//126</t>
  </si>
  <si>
    <t>52//736</t>
  </si>
  <si>
    <t>224//256</t>
  </si>
  <si>
    <t>53//746</t>
  </si>
  <si>
    <t>739//740</t>
  </si>
  <si>
    <t>742/741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</si>
</sst>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  <numFmt numFmtId="172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3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172" fontId="0" fillId="0" borderId="1" xfId="2" applyNumberFormat="1" applyFont="1" applyBorder="1" applyProtection="1">
      <protection locked="0"/>
    </xf>
    <xf numFmtId="43" fontId="0" fillId="3" borderId="0" xfId="2" applyFont="1" applyFill="1" applyProtection="1">
      <protection locked="0"/>
    </xf>
    <xf numFmtId="169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0" borderId="1" xfId="2" applyFont="1" applyFill="1" applyBorder="1" applyProtection="1">
      <protection locked="0"/>
    </xf>
    <xf numFmtId="43" fontId="11" fillId="3" borderId="1" xfId="2" applyFont="1" applyFill="1" applyBorder="1" applyProtection="1"/>
    <xf numFmtId="43" fontId="0" fillId="15" borderId="1" xfId="2" applyFont="1" applyFill="1" applyBorder="1" applyProtection="1"/>
    <xf numFmtId="0" fontId="0" fillId="6" borderId="1" xfId="0" applyFill="1" applyBorder="1" applyProtection="1">
      <protection locked="0"/>
    </xf>
    <xf numFmtId="43" fontId="0" fillId="0" borderId="1" xfId="0" applyNumberFormat="1" applyBorder="1" applyProtection="1"/>
    <xf numFmtId="4" fontId="0" fillId="0" borderId="1" xfId="0" applyNumberFormat="1" applyFont="1" applyFill="1" applyBorder="1" applyAlignment="1" applyProtection="1">
      <alignment vertical="center"/>
      <protection locked="0"/>
    </xf>
    <xf numFmtId="43" fontId="0" fillId="0" borderId="0" xfId="0" applyNumberFormat="1" applyFill="1" applyBorder="1" applyProtection="1"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43" fontId="12" fillId="2" borderId="14" xfId="1" applyNumberFormat="1" applyFont="1" applyBorder="1" applyProtection="1">
      <protection locked="0"/>
    </xf>
    <xf numFmtId="43" fontId="11" fillId="15" borderId="1" xfId="2" applyFont="1" applyFill="1" applyBorder="1" applyProtection="1"/>
    <xf numFmtId="2" fontId="0" fillId="0" borderId="0" xfId="0" applyNumberFormat="1"/>
    <xf numFmtId="43" fontId="0" fillId="15" borderId="1" xfId="2" applyFont="1" applyFill="1" applyBorder="1" applyProtection="1">
      <protection locked="0"/>
    </xf>
    <xf numFmtId="0" fontId="0" fillId="15" borderId="1" xfId="0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43" fontId="0" fillId="16" borderId="1" xfId="2" applyFont="1" applyFill="1" applyBorder="1" applyProtection="1"/>
    <xf numFmtId="0" fontId="0" fillId="7" borderId="1" xfId="0" applyFill="1" applyBorder="1" applyProtection="1">
      <protection locked="0"/>
    </xf>
    <xf numFmtId="0" fontId="11" fillId="15" borderId="1" xfId="0" applyFont="1" applyFill="1" applyBorder="1" applyProtection="1">
      <protection locked="0"/>
    </xf>
    <xf numFmtId="43" fontId="11" fillId="7" borderId="1" xfId="2" applyFont="1" applyFill="1" applyBorder="1" applyProtection="1"/>
    <xf numFmtId="0" fontId="0" fillId="13" borderId="1" xfId="0" applyFill="1" applyBorder="1" applyProtection="1">
      <protection locked="0"/>
    </xf>
    <xf numFmtId="43" fontId="0" fillId="13" borderId="1" xfId="2" applyFont="1" applyFill="1" applyBorder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11529.97</c:v>
                </c:pt>
                <c:pt idx="1">
                  <c:v>11350.62</c:v>
                </c:pt>
                <c:pt idx="2">
                  <c:v>9815.6299999999992</c:v>
                </c:pt>
                <c:pt idx="3">
                  <c:v>8521.11</c:v>
                </c:pt>
                <c:pt idx="4">
                  <c:v>7704.67</c:v>
                </c:pt>
                <c:pt idx="5">
                  <c:v>7934.61</c:v>
                </c:pt>
                <c:pt idx="6">
                  <c:v>9079.08</c:v>
                </c:pt>
                <c:pt idx="7">
                  <c:v>10076.49</c:v>
                </c:pt>
                <c:pt idx="8">
                  <c:v>12158.7</c:v>
                </c:pt>
                <c:pt idx="9">
                  <c:v>11378.75</c:v>
                </c:pt>
                <c:pt idx="10">
                  <c:v>8596.57</c:v>
                </c:pt>
                <c:pt idx="11">
                  <c:v>7243.17</c:v>
                </c:pt>
                <c:pt idx="12">
                  <c:v>7737.36</c:v>
                </c:pt>
                <c:pt idx="13">
                  <c:v>10745.29</c:v>
                </c:pt>
                <c:pt idx="14">
                  <c:v>12405.1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8015.63</c:v>
                </c:pt>
                <c:pt idx="27">
                  <c:v>7695.65</c:v>
                </c:pt>
                <c:pt idx="28">
                  <c:v>11010.42</c:v>
                </c:pt>
                <c:pt idx="29">
                  <c:v>12426.74</c:v>
                </c:pt>
                <c:pt idx="30">
                  <c:v>10886.79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96512"/>
        <c:axId val="192098304"/>
        <c:axId val="0"/>
      </c:bar3DChart>
      <c:catAx>
        <c:axId val="1920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098304"/>
        <c:crosses val="autoZero"/>
        <c:auto val="1"/>
        <c:lblAlgn val="ctr"/>
        <c:lblOffset val="100"/>
        <c:noMultiLvlLbl val="0"/>
      </c:catAx>
      <c:valAx>
        <c:axId val="19209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09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11529.97</c:v>
                </c:pt>
                <c:pt idx="1">
                  <c:v>11350.62</c:v>
                </c:pt>
                <c:pt idx="2">
                  <c:v>9815.6299999999992</c:v>
                </c:pt>
                <c:pt idx="3">
                  <c:v>8521.11</c:v>
                </c:pt>
                <c:pt idx="4">
                  <c:v>7704.67</c:v>
                </c:pt>
                <c:pt idx="5">
                  <c:v>7934.61</c:v>
                </c:pt>
                <c:pt idx="6">
                  <c:v>9079.08</c:v>
                </c:pt>
                <c:pt idx="7">
                  <c:v>10076.49</c:v>
                </c:pt>
                <c:pt idx="8">
                  <c:v>12158.7</c:v>
                </c:pt>
                <c:pt idx="9">
                  <c:v>11378.75</c:v>
                </c:pt>
                <c:pt idx="10">
                  <c:v>8596.57</c:v>
                </c:pt>
                <c:pt idx="11">
                  <c:v>7243.17</c:v>
                </c:pt>
                <c:pt idx="12">
                  <c:v>7737.36</c:v>
                </c:pt>
                <c:pt idx="13">
                  <c:v>10745.29</c:v>
                </c:pt>
                <c:pt idx="14">
                  <c:v>12405.1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8015.63</c:v>
                </c:pt>
                <c:pt idx="27">
                  <c:v>7695.65</c:v>
                </c:pt>
                <c:pt idx="28">
                  <c:v>11010.42</c:v>
                </c:pt>
                <c:pt idx="29">
                  <c:v>12426.74</c:v>
                </c:pt>
                <c:pt idx="30">
                  <c:v>10886.79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35936"/>
        <c:axId val="192137856"/>
      </c:lineChart>
      <c:catAx>
        <c:axId val="1921359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137856"/>
        <c:crosses val="autoZero"/>
        <c:auto val="1"/>
        <c:lblAlgn val="ctr"/>
        <c:lblOffset val="100"/>
        <c:noMultiLvlLbl val="0"/>
      </c:catAx>
      <c:valAx>
        <c:axId val="19213785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213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879232"/>
        <c:axId val="192893312"/>
        <c:axId val="0"/>
      </c:bar3DChart>
      <c:catAx>
        <c:axId val="1928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893312"/>
        <c:crosses val="autoZero"/>
        <c:auto val="1"/>
        <c:lblAlgn val="ctr"/>
        <c:lblOffset val="100"/>
        <c:noMultiLvlLbl val="0"/>
      </c:catAx>
      <c:valAx>
        <c:axId val="19289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87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39520"/>
        <c:axId val="192941440"/>
      </c:lineChart>
      <c:catAx>
        <c:axId val="192939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941440"/>
        <c:crosses val="autoZero"/>
        <c:auto val="1"/>
        <c:lblAlgn val="ctr"/>
        <c:lblOffset val="100"/>
        <c:noMultiLvlLbl val="0"/>
      </c:catAx>
      <c:valAx>
        <c:axId val="192941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3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974208"/>
        <c:axId val="192980096"/>
        <c:axId val="0"/>
      </c:bar3DChart>
      <c:catAx>
        <c:axId val="1929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80096"/>
        <c:crosses val="autoZero"/>
        <c:auto val="1"/>
        <c:lblAlgn val="ctr"/>
        <c:lblOffset val="100"/>
        <c:noMultiLvlLbl val="0"/>
      </c:catAx>
      <c:valAx>
        <c:axId val="1929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7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96096"/>
        <c:axId val="192997632"/>
      </c:barChart>
      <c:catAx>
        <c:axId val="1929960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97632"/>
        <c:crosses val="autoZero"/>
        <c:auto val="1"/>
        <c:lblAlgn val="ctr"/>
        <c:lblOffset val="100"/>
        <c:tickMarkSkip val="1"/>
        <c:noMultiLvlLbl val="0"/>
      </c:catAx>
      <c:valAx>
        <c:axId val="1929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9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7" workbookViewId="0">
      <selection activeCell="C37" sqref="C37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64"/>
      <c r="B1" s="267"/>
      <c r="C1" s="268"/>
      <c r="D1" s="268"/>
      <c r="E1" s="268"/>
      <c r="F1" s="268"/>
      <c r="G1" s="269"/>
    </row>
    <row r="2" spans="1:9" s="43" customFormat="1" ht="16.5" customHeight="1" x14ac:dyDescent="0.35">
      <c r="A2" s="265"/>
      <c r="B2" s="270" t="s">
        <v>12</v>
      </c>
      <c r="C2" s="271"/>
      <c r="D2" s="271"/>
      <c r="E2" s="271"/>
      <c r="F2" s="271"/>
      <c r="G2" s="272"/>
    </row>
    <row r="3" spans="1:9" s="43" customFormat="1" ht="16.5" customHeight="1" x14ac:dyDescent="0.25">
      <c r="A3" s="266"/>
      <c r="B3" s="273" t="s">
        <v>34</v>
      </c>
      <c r="C3" s="274"/>
      <c r="D3" s="274"/>
      <c r="E3" s="274"/>
      <c r="F3" s="274"/>
      <c r="G3" s="275"/>
    </row>
    <row r="4" spans="1:9" x14ac:dyDescent="0.25">
      <c r="A4" s="276" t="s">
        <v>51</v>
      </c>
      <c r="B4" s="276"/>
      <c r="C4" s="276"/>
      <c r="D4" s="276"/>
      <c r="E4" s="276"/>
      <c r="F4" s="276"/>
      <c r="G4" s="276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44743</v>
      </c>
      <c r="B8" s="199">
        <f>'DIA 1'!B68</f>
        <v>11529.97</v>
      </c>
      <c r="C8" s="199">
        <f>'DIA 1'!B69</f>
        <v>11597.31</v>
      </c>
      <c r="D8" s="199">
        <f>C8-B8</f>
        <v>67.340000000000146</v>
      </c>
    </row>
    <row r="9" spans="1:9" x14ac:dyDescent="0.25">
      <c r="A9" s="46">
        <f>'DIA 2'!B$6</f>
        <v>44744</v>
      </c>
      <c r="B9" s="199">
        <f>'DIA 2'!B$68</f>
        <v>11350.62</v>
      </c>
      <c r="C9" s="199">
        <f>'DIA 2'!B$69</f>
        <v>11450.38</v>
      </c>
      <c r="D9" s="199">
        <f t="shared" ref="D9:D38" si="0">C9-B9</f>
        <v>99.759999999998399</v>
      </c>
    </row>
    <row r="10" spans="1:9" x14ac:dyDescent="0.25">
      <c r="A10" s="46">
        <f>'DIA 3'!B$6</f>
        <v>44745</v>
      </c>
      <c r="B10" s="199">
        <f>'DIA 3'!B$68</f>
        <v>9815.6299999999992</v>
      </c>
      <c r="C10" s="199">
        <f>'DIA 3'!B$69</f>
        <v>9908.74</v>
      </c>
      <c r="D10" s="199">
        <f t="shared" si="0"/>
        <v>93.110000000000582</v>
      </c>
    </row>
    <row r="11" spans="1:9" x14ac:dyDescent="0.25">
      <c r="A11" s="46">
        <f>'DIA 4'!B$6</f>
        <v>44746</v>
      </c>
      <c r="B11" s="199">
        <f>'DIA 4'!B$68</f>
        <v>8521.11</v>
      </c>
      <c r="C11" s="199">
        <f>'DIA 4'!B$69</f>
        <v>8591.34</v>
      </c>
      <c r="D11" s="199">
        <f t="shared" si="0"/>
        <v>70.229999999999563</v>
      </c>
    </row>
    <row r="12" spans="1:9" x14ac:dyDescent="0.25">
      <c r="A12" s="46">
        <f>'DIA 5'!B$6</f>
        <v>44747</v>
      </c>
      <c r="B12" s="199">
        <f>'DIA 5'!B$68</f>
        <v>7704.67</v>
      </c>
      <c r="C12" s="199">
        <f>'DIA 5'!B$69</f>
        <v>7775.84</v>
      </c>
      <c r="D12" s="199">
        <f t="shared" si="0"/>
        <v>71.170000000000073</v>
      </c>
    </row>
    <row r="13" spans="1:9" x14ac:dyDescent="0.25">
      <c r="A13" s="46">
        <f>'DIA 6'!B$6</f>
        <v>44748</v>
      </c>
      <c r="B13" s="199">
        <f>'DIA 6'!B$68</f>
        <v>7934.61</v>
      </c>
      <c r="C13" s="199">
        <f>'DIA 6'!B$69</f>
        <v>7990.63</v>
      </c>
      <c r="D13" s="199">
        <f t="shared" si="0"/>
        <v>56.020000000000437</v>
      </c>
    </row>
    <row r="14" spans="1:9" x14ac:dyDescent="0.25">
      <c r="A14" s="46">
        <f>'DIA 7'!B$6</f>
        <v>44749</v>
      </c>
      <c r="B14" s="199">
        <f>'DIA 7'!B$68</f>
        <v>9079.08</v>
      </c>
      <c r="C14" s="199">
        <f>'DIA 7'!B$69</f>
        <v>9132.99</v>
      </c>
      <c r="D14" s="199">
        <f t="shared" si="0"/>
        <v>53.909999999999854</v>
      </c>
    </row>
    <row r="15" spans="1:9" x14ac:dyDescent="0.25">
      <c r="A15" s="46">
        <f>'DIA 8'!B$6</f>
        <v>44750</v>
      </c>
      <c r="B15" s="199">
        <f>'DIA 8'!B$68</f>
        <v>10076.49</v>
      </c>
      <c r="C15" s="199">
        <f>'DIA 8'!B$69</f>
        <v>10143.459999999999</v>
      </c>
      <c r="D15" s="199">
        <f t="shared" si="0"/>
        <v>66.969999999999345</v>
      </c>
    </row>
    <row r="16" spans="1:9" x14ac:dyDescent="0.25">
      <c r="A16" s="46">
        <f>'DIA 9'!B$6</f>
        <v>44751</v>
      </c>
      <c r="B16" s="199">
        <f>'DIA 9'!B$68</f>
        <v>12158.7</v>
      </c>
      <c r="C16" s="199">
        <f>'DIA 9'!B$69</f>
        <v>12257.35</v>
      </c>
      <c r="D16" s="199">
        <f t="shared" si="0"/>
        <v>98.649999999999636</v>
      </c>
    </row>
    <row r="17" spans="1:4" x14ac:dyDescent="0.25">
      <c r="A17" s="46">
        <f>'DIA 10'!B$6</f>
        <v>44752</v>
      </c>
      <c r="B17" s="199">
        <f>'DIA 10'!B$68</f>
        <v>11378.75</v>
      </c>
      <c r="C17" s="199">
        <f>'DIA 10'!B$69</f>
        <v>11508.48</v>
      </c>
      <c r="D17" s="199">
        <f t="shared" si="0"/>
        <v>129.72999999999956</v>
      </c>
    </row>
    <row r="18" spans="1:4" x14ac:dyDescent="0.25">
      <c r="A18" s="46">
        <f>'DIA 11'!B$6</f>
        <v>44753</v>
      </c>
      <c r="B18" s="199">
        <f>'DIA 11'!B$68</f>
        <v>8596.57</v>
      </c>
      <c r="C18" s="199">
        <f>'DIA 11'!B$69</f>
        <v>8644.0400000000009</v>
      </c>
      <c r="D18" s="199">
        <f t="shared" si="0"/>
        <v>47.470000000001164</v>
      </c>
    </row>
    <row r="19" spans="1:4" x14ac:dyDescent="0.25">
      <c r="A19" s="46">
        <f>'DIA 12'!B$6</f>
        <v>44754</v>
      </c>
      <c r="B19" s="199">
        <f>'DIA 12'!B$68</f>
        <v>7243.17</v>
      </c>
      <c r="C19" s="199">
        <f>'DIA 12'!B$69</f>
        <v>7298.66</v>
      </c>
      <c r="D19" s="199">
        <f t="shared" si="0"/>
        <v>55.489999999999782</v>
      </c>
    </row>
    <row r="20" spans="1:4" x14ac:dyDescent="0.25">
      <c r="A20" s="46">
        <f>'DIA 13'!B$6</f>
        <v>44755</v>
      </c>
      <c r="B20" s="199">
        <f>'DIA 13'!B$68</f>
        <v>7737.36</v>
      </c>
      <c r="C20" s="199">
        <f>'DIA 13'!B$69</f>
        <v>7797.3</v>
      </c>
      <c r="D20" s="199">
        <f t="shared" si="0"/>
        <v>59.940000000000509</v>
      </c>
    </row>
    <row r="21" spans="1:4" x14ac:dyDescent="0.25">
      <c r="A21" s="46">
        <f>'DIA 14'!B$6</f>
        <v>44756</v>
      </c>
      <c r="B21" s="199">
        <f>'DIA 14'!B$68</f>
        <v>10745.29</v>
      </c>
      <c r="C21" s="199">
        <f>'DIA 14'!B$69</f>
        <v>10833.53</v>
      </c>
      <c r="D21" s="199">
        <f t="shared" si="0"/>
        <v>88.239999999999782</v>
      </c>
    </row>
    <row r="22" spans="1:4" x14ac:dyDescent="0.25">
      <c r="A22" s="46">
        <f>'DIA 15'!B$6</f>
        <v>44757</v>
      </c>
      <c r="B22" s="199">
        <f>'DIA 15'!B$68</f>
        <v>12405.1</v>
      </c>
      <c r="C22" s="199">
        <f>'DIA 15'!B$69</f>
        <v>12517.03</v>
      </c>
      <c r="D22" s="199">
        <f t="shared" si="0"/>
        <v>111.93000000000029</v>
      </c>
    </row>
    <row r="23" spans="1:4" x14ac:dyDescent="0.25">
      <c r="A23" s="46">
        <f>'DIA 16'!B$6</f>
        <v>44758</v>
      </c>
      <c r="B23" s="199">
        <f>'DIA 16'!B$68</f>
        <v>11079.93</v>
      </c>
      <c r="C23" s="199">
        <f>'DIA 16'!B$69</f>
        <v>11188.02</v>
      </c>
      <c r="D23" s="199">
        <f t="shared" si="0"/>
        <v>108.09000000000015</v>
      </c>
    </row>
    <row r="24" spans="1:4" x14ac:dyDescent="0.25">
      <c r="A24" s="46">
        <f>'DIA 17'!B$6</f>
        <v>44759</v>
      </c>
      <c r="B24" s="199">
        <f>'DIA 17'!B$68</f>
        <v>13476.48</v>
      </c>
      <c r="C24" s="199">
        <f>'DIA 17'!B$69</f>
        <v>13623.31</v>
      </c>
      <c r="D24" s="199">
        <f t="shared" si="0"/>
        <v>146.82999999999993</v>
      </c>
    </row>
    <row r="25" spans="1:4" x14ac:dyDescent="0.25">
      <c r="A25" s="46">
        <f>'DIA 18'!B$6</f>
        <v>44760</v>
      </c>
      <c r="B25" s="199">
        <f>'DIA 18'!B$68</f>
        <v>7531.37</v>
      </c>
      <c r="C25" s="199">
        <f>'DIA 18'!B$69</f>
        <v>7584.98</v>
      </c>
      <c r="D25" s="199">
        <f t="shared" si="0"/>
        <v>53.609999999999673</v>
      </c>
    </row>
    <row r="26" spans="1:4" x14ac:dyDescent="0.25">
      <c r="A26" s="46">
        <f>'DIA 19'!B$6</f>
        <v>44761</v>
      </c>
      <c r="B26" s="199">
        <f>'DIA 19'!B$68</f>
        <v>6516.03</v>
      </c>
      <c r="C26" s="199">
        <f>'DIA 19'!B$69</f>
        <v>6565.87</v>
      </c>
      <c r="D26" s="199">
        <f t="shared" si="0"/>
        <v>49.840000000000146</v>
      </c>
    </row>
    <row r="27" spans="1:4" x14ac:dyDescent="0.25">
      <c r="A27" s="46">
        <f>'DIA 20'!B$6</f>
        <v>44732</v>
      </c>
      <c r="B27" s="199">
        <f>'DIA 20'!B$68</f>
        <v>6645.29</v>
      </c>
      <c r="C27" s="199">
        <f>'DIA 20'!B$69</f>
        <v>6703.42</v>
      </c>
      <c r="D27" s="199">
        <f t="shared" si="0"/>
        <v>58.130000000000109</v>
      </c>
    </row>
    <row r="28" spans="1:4" x14ac:dyDescent="0.25">
      <c r="A28" s="46">
        <f>'DIA 21'!B$6</f>
        <v>44763</v>
      </c>
      <c r="B28" s="199">
        <f>'DIA 21'!B$68</f>
        <v>9301.31</v>
      </c>
      <c r="C28" s="199">
        <f>'DIA 21'!B$69</f>
        <v>9356.44</v>
      </c>
      <c r="D28" s="199">
        <f t="shared" si="0"/>
        <v>55.130000000001019</v>
      </c>
    </row>
    <row r="29" spans="1:4" x14ac:dyDescent="0.25">
      <c r="A29" s="46">
        <f>'DIA 22'!B$6</f>
        <v>44764</v>
      </c>
      <c r="B29" s="199">
        <f>'DIA 22'!B$68</f>
        <v>9587.25</v>
      </c>
      <c r="C29" s="199">
        <f>'DIA 22'!B$69</f>
        <v>9642.7999999999993</v>
      </c>
      <c r="D29" s="199">
        <f t="shared" si="0"/>
        <v>55.549999999999272</v>
      </c>
    </row>
    <row r="30" spans="1:4" x14ac:dyDescent="0.25">
      <c r="A30" s="46">
        <f>'DIA 23'!B$6</f>
        <v>44765</v>
      </c>
      <c r="B30" s="199">
        <f>'DIA 23'!B$68</f>
        <v>11094.06</v>
      </c>
      <c r="C30" s="199">
        <f>'DIA 23'!B$69</f>
        <v>11176.53</v>
      </c>
      <c r="D30" s="199">
        <f t="shared" si="0"/>
        <v>82.470000000001164</v>
      </c>
    </row>
    <row r="31" spans="1:4" x14ac:dyDescent="0.25">
      <c r="A31" s="46">
        <f>'DIA 24'!B$6</f>
        <v>44766</v>
      </c>
      <c r="B31" s="199">
        <f>'DIA 24'!B$68</f>
        <v>12692.75</v>
      </c>
      <c r="C31" s="199">
        <f>'DIA 24'!B$69</f>
        <v>12800.9</v>
      </c>
      <c r="D31" s="199">
        <f t="shared" si="0"/>
        <v>108.14999999999964</v>
      </c>
    </row>
    <row r="32" spans="1:4" x14ac:dyDescent="0.25">
      <c r="A32" s="46">
        <f>'DIA 25'!B$6</f>
        <v>44767</v>
      </c>
      <c r="B32" s="199">
        <f>'DIA 25'!B$68</f>
        <v>9838.86</v>
      </c>
      <c r="C32" s="199">
        <f>'DIA 25'!B$69</f>
        <v>9897.85</v>
      </c>
      <c r="D32" s="199">
        <f t="shared" si="0"/>
        <v>58.989999999999782</v>
      </c>
    </row>
    <row r="33" spans="1:6" x14ac:dyDescent="0.25">
      <c r="A33" s="46">
        <f>'DIA 26'!B$6</f>
        <v>44768</v>
      </c>
      <c r="B33" s="199">
        <f>'DIA 26'!B$68</f>
        <v>9919.7999999999993</v>
      </c>
      <c r="C33" s="199">
        <f>'DIA 26'!B$69</f>
        <v>9919.7999999999993</v>
      </c>
      <c r="D33" s="199">
        <f t="shared" si="0"/>
        <v>0</v>
      </c>
    </row>
    <row r="34" spans="1:6" x14ac:dyDescent="0.25">
      <c r="A34" s="46">
        <f>'DIA 27'!B$6</f>
        <v>44769</v>
      </c>
      <c r="B34" s="199">
        <f>'DIA 27'!B$68</f>
        <v>8015.63</v>
      </c>
      <c r="C34" s="199">
        <f>'DIA 27'!B$69</f>
        <v>7966.06</v>
      </c>
      <c r="D34" s="199">
        <f t="shared" si="0"/>
        <v>-49.569999999999709</v>
      </c>
    </row>
    <row r="35" spans="1:6" x14ac:dyDescent="0.25">
      <c r="A35" s="46">
        <f>'DIA 28'!B$6</f>
        <v>44770</v>
      </c>
      <c r="B35" s="199">
        <f>'DIA 28'!B$68</f>
        <v>7695.65</v>
      </c>
      <c r="C35" s="199">
        <f>'DIA 28'!B$69</f>
        <v>7640.94</v>
      </c>
      <c r="D35" s="199">
        <f t="shared" si="0"/>
        <v>-54.710000000000036</v>
      </c>
    </row>
    <row r="36" spans="1:6" x14ac:dyDescent="0.25">
      <c r="A36" s="46">
        <f>'DIA 29'!B$6</f>
        <v>44771</v>
      </c>
      <c r="B36" s="199">
        <f>'DIA 29'!B$68</f>
        <v>11010.42</v>
      </c>
      <c r="C36" s="199">
        <f>'DIA 29'!B$69</f>
        <v>10959.44</v>
      </c>
      <c r="D36" s="199">
        <f t="shared" si="0"/>
        <v>-50.979999999999563</v>
      </c>
    </row>
    <row r="37" spans="1:6" x14ac:dyDescent="0.25">
      <c r="A37" s="46">
        <f>'DIA 30'!B$6</f>
        <v>44772</v>
      </c>
      <c r="B37" s="199">
        <f>'DIA 30'!B$68</f>
        <v>12426.74</v>
      </c>
      <c r="C37" s="199">
        <f>'DIA 30'!B$69</f>
        <v>12329.71</v>
      </c>
      <c r="D37" s="199">
        <f t="shared" si="0"/>
        <v>-97.030000000000655</v>
      </c>
    </row>
    <row r="38" spans="1:6" x14ac:dyDescent="0.25">
      <c r="A38" s="46">
        <f>'DIA 31'!B$6</f>
        <v>44773</v>
      </c>
      <c r="B38" s="199">
        <f>'DIA 31'!B$68</f>
        <v>10886.79</v>
      </c>
      <c r="C38" s="199">
        <f>'DIA 31'!B$69</f>
        <v>10796.12</v>
      </c>
      <c r="D38" s="199">
        <f t="shared" si="0"/>
        <v>-90.670000000000073</v>
      </c>
    </row>
    <row r="39" spans="1:6" x14ac:dyDescent="0.25">
      <c r="A39" s="47" t="s">
        <v>38</v>
      </c>
      <c r="B39" s="30">
        <f>SUM(B8:B38)</f>
        <v>303995.48</v>
      </c>
      <c r="C39" s="30">
        <f>SUM(C8:C38)</f>
        <v>305599.27</v>
      </c>
      <c r="D39" s="29">
        <f>SUM(D8:D38)</f>
        <v>1603.79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13476.48</v>
      </c>
      <c r="C41" s="200">
        <f>MAX(C8:C38)</f>
        <v>13623.31</v>
      </c>
      <c r="D41" s="200">
        <f>MAX(D8:D38)</f>
        <v>146.82999999999993</v>
      </c>
    </row>
    <row r="42" spans="1:6" x14ac:dyDescent="0.25">
      <c r="A42" s="48" t="s">
        <v>41</v>
      </c>
      <c r="B42" s="200">
        <f>DMIN(B7:B38,B7,B44:B45)</f>
        <v>6516.03</v>
      </c>
      <c r="C42" s="200">
        <f>DMIN(C7:C38,C7,C44:C45)</f>
        <v>6565.87</v>
      </c>
      <c r="D42" s="200">
        <f>MIN(D8:D38)</f>
        <v>-97.030000000000655</v>
      </c>
    </row>
    <row r="43" spans="1:6" x14ac:dyDescent="0.25">
      <c r="A43" s="48" t="s">
        <v>42</v>
      </c>
      <c r="B43" s="200">
        <f>AVERAGE(B8:B38)</f>
        <v>9806.3058064516117</v>
      </c>
      <c r="C43" s="200">
        <f>AVERAGE(C8:C38)</f>
        <v>9858.0409677419357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9" zoomScale="90" zoomScaleNormal="90" workbookViewId="0">
      <selection activeCell="B12" sqref="B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616</v>
      </c>
      <c r="C12" s="15"/>
      <c r="D12" s="56"/>
      <c r="E12" s="16"/>
      <c r="F12" s="56"/>
      <c r="G12" s="56"/>
      <c r="H12" s="17"/>
      <c r="I12" s="83">
        <v>616.5</v>
      </c>
      <c r="J12" s="81">
        <f>B12-I12</f>
        <v>-0.5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702</v>
      </c>
      <c r="C13" s="15"/>
      <c r="D13" s="56"/>
      <c r="E13" s="16"/>
      <c r="F13" s="56"/>
      <c r="G13" s="56"/>
      <c r="H13" s="17"/>
      <c r="I13" s="83">
        <v>702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3903.12</v>
      </c>
      <c r="C14" s="15"/>
      <c r="D14" s="56"/>
      <c r="E14" s="16"/>
      <c r="F14" s="56"/>
      <c r="G14" s="56"/>
      <c r="H14" s="17"/>
      <c r="I14" s="83">
        <v>3903.12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702</v>
      </c>
      <c r="C19" s="95"/>
      <c r="D19" s="94"/>
      <c r="E19" s="96"/>
      <c r="F19" s="94"/>
      <c r="G19" s="94"/>
      <c r="H19" s="98"/>
      <c r="I19" s="99">
        <v>702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3903.12</v>
      </c>
      <c r="C20" s="95"/>
      <c r="D20" s="94"/>
      <c r="E20" s="96"/>
      <c r="F20" s="94"/>
      <c r="G20" s="94"/>
      <c r="H20" s="98"/>
      <c r="I20" s="99">
        <v>3903.12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6157.07</v>
      </c>
      <c r="C49" s="116">
        <v>7.4999999999999997E-3</v>
      </c>
      <c r="D49" s="117">
        <f t="shared" si="18"/>
        <v>46.178024999999998</v>
      </c>
      <c r="E49" s="172">
        <v>0</v>
      </c>
      <c r="F49" s="117">
        <f t="shared" si="15"/>
        <v>0</v>
      </c>
      <c r="G49" s="117">
        <f t="shared" si="16"/>
        <v>6110.8919749999995</v>
      </c>
      <c r="H49" s="173">
        <f t="shared" si="19"/>
        <v>44745</v>
      </c>
      <c r="I49" s="176">
        <f>1003.57+5153.5</f>
        <v>6157.07</v>
      </c>
      <c r="J49" s="81">
        <f t="shared" si="0"/>
        <v>0</v>
      </c>
      <c r="K49" s="80"/>
      <c r="L49" s="186">
        <f t="shared" si="17"/>
        <v>6110.8919749999995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357.66999999999996</v>
      </c>
      <c r="C50" s="116">
        <v>7.4999999999999997E-3</v>
      </c>
      <c r="D50" s="117">
        <f t="shared" si="18"/>
        <v>2.6825249999999996</v>
      </c>
      <c r="E50" s="172">
        <v>0</v>
      </c>
      <c r="F50" s="117">
        <f t="shared" si="15"/>
        <v>0</v>
      </c>
      <c r="G50" s="117">
        <f t="shared" si="16"/>
        <v>354.98747499999996</v>
      </c>
      <c r="H50" s="173">
        <f t="shared" si="19"/>
        <v>44745</v>
      </c>
      <c r="I50" s="175"/>
      <c r="J50" s="81">
        <f t="shared" si="0"/>
        <v>357.66999999999996</v>
      </c>
      <c r="K50" s="80">
        <v>354.99</v>
      </c>
      <c r="L50" s="186">
        <f t="shared" si="17"/>
        <v>-2.5250000000482942E-3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337.87</v>
      </c>
      <c r="C51" s="116">
        <v>1.4999999999999999E-2</v>
      </c>
      <c r="D51" s="117">
        <f>+B51*C51</f>
        <v>5.0680499999999995</v>
      </c>
      <c r="E51" s="172">
        <v>0</v>
      </c>
      <c r="F51" s="117">
        <f>D51*E51</f>
        <v>0</v>
      </c>
      <c r="G51" s="117">
        <f t="shared" si="16"/>
        <v>332.80195000000003</v>
      </c>
      <c r="H51" s="173">
        <f t="shared" si="19"/>
        <v>44745</v>
      </c>
      <c r="I51" s="175">
        <v>695.54</v>
      </c>
      <c r="J51" s="81">
        <f t="shared" si="0"/>
        <v>-357.66999999999996</v>
      </c>
      <c r="K51" s="80">
        <v>332.8</v>
      </c>
      <c r="L51" s="186">
        <f t="shared" si="17"/>
        <v>1.9500000000221007E-3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57.95</v>
      </c>
      <c r="C56" s="116">
        <v>2.5000000000000001E-2</v>
      </c>
      <c r="D56" s="117">
        <f t="shared" si="20"/>
        <v>1.4487500000000002</v>
      </c>
      <c r="E56" s="172">
        <v>0.05</v>
      </c>
      <c r="F56" s="117">
        <f t="shared" si="21"/>
        <v>2.4978448275862073</v>
      </c>
      <c r="G56" s="117">
        <f t="shared" si="22"/>
        <v>54.0034051724138</v>
      </c>
      <c r="H56" s="173">
        <f t="shared" si="19"/>
        <v>44745</v>
      </c>
      <c r="I56" s="176">
        <v>57.95</v>
      </c>
      <c r="J56" s="81">
        <f t="shared" si="0"/>
        <v>0</v>
      </c>
      <c r="K56" s="80"/>
      <c r="L56" s="186">
        <f t="shared" si="17"/>
        <v>54.0034051724138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55.377349999999993</v>
      </c>
      <c r="E61" s="177"/>
      <c r="F61" s="57">
        <f>SUM(F46:F58)</f>
        <v>2.4978448275862073</v>
      </c>
      <c r="G61" s="57">
        <f>SUM(G46:G58)</f>
        <v>6852.6848051724137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6852.6848051724137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13705.369610344827</v>
      </c>
      <c r="H64" s="184"/>
      <c r="I64" s="175"/>
      <c r="J64" s="81">
        <f t="shared" si="0"/>
        <v>0</v>
      </c>
      <c r="K64" s="80"/>
      <c r="L64" s="186">
        <f t="shared" si="17"/>
        <v>13705.369610344827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11429.68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11350.62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11450.38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-99.759999999998399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208</v>
      </c>
      <c r="Q70" s="228"/>
      <c r="R70" s="255">
        <v>499.31</v>
      </c>
      <c r="S70" s="228"/>
      <c r="T70" s="256">
        <v>41.84</v>
      </c>
      <c r="U70" s="189">
        <f t="shared" ref="U70:U74" si="34">((T70/U$10)*U$9)</f>
        <v>1.8034482758620696</v>
      </c>
      <c r="V70" s="189">
        <f t="shared" ref="V70:V74" si="35">R70*V$10</f>
        <v>3.7448250000000001</v>
      </c>
      <c r="W70" s="189">
        <f t="shared" ref="W70:W74" si="36">+S70*V$10</f>
        <v>0</v>
      </c>
      <c r="X70" s="189">
        <f t="shared" ref="X70:X74" si="37">+T70*X$10</f>
        <v>1.046</v>
      </c>
      <c r="Y70" s="189">
        <f t="shared" ref="Y70:Z74" si="38">R70-V70</f>
        <v>495.56517500000001</v>
      </c>
      <c r="Z70" s="189">
        <f t="shared" si="38"/>
        <v>0</v>
      </c>
      <c r="AA70" s="189">
        <f t="shared" ref="AA70:AA74" si="39">T70-U70-X70</f>
        <v>38.990551724137937</v>
      </c>
      <c r="AB70" s="87"/>
    </row>
    <row r="71" spans="1:30" ht="28.5" customHeight="1" thickBot="1" x14ac:dyDescent="0.3">
      <c r="A71" s="25" t="s">
        <v>57</v>
      </c>
      <c r="B71" s="70">
        <f>(B65-B69)-B72</f>
        <v>-20.699999999998909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222</v>
      </c>
      <c r="Q71" s="228">
        <v>2001</v>
      </c>
      <c r="R71" s="255">
        <v>504.26</v>
      </c>
      <c r="S71" s="228"/>
      <c r="T71" s="222"/>
      <c r="U71" s="189">
        <f t="shared" si="34"/>
        <v>0</v>
      </c>
      <c r="V71" s="189">
        <f t="shared" si="35"/>
        <v>3.7819499999999997</v>
      </c>
      <c r="W71" s="189">
        <f t="shared" si="36"/>
        <v>0</v>
      </c>
      <c r="X71" s="189">
        <f t="shared" si="37"/>
        <v>0</v>
      </c>
      <c r="Y71" s="189">
        <f t="shared" si="38"/>
        <v>500.47805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230</v>
      </c>
      <c r="Q72" s="228">
        <v>2003</v>
      </c>
      <c r="R72" s="238">
        <f>769.76+1166.67</f>
        <v>1936.43</v>
      </c>
      <c r="S72" s="228"/>
      <c r="T72" s="247">
        <v>16.11</v>
      </c>
      <c r="U72" s="189">
        <f t="shared" si="34"/>
        <v>0.69439655172413806</v>
      </c>
      <c r="V72" s="189">
        <f t="shared" si="35"/>
        <v>14.523225</v>
      </c>
      <c r="W72" s="189">
        <f t="shared" si="36"/>
        <v>0</v>
      </c>
      <c r="X72" s="189">
        <f t="shared" si="37"/>
        <v>0.40275</v>
      </c>
      <c r="Y72" s="189">
        <f t="shared" si="38"/>
        <v>1921.9067750000002</v>
      </c>
      <c r="Z72" s="189">
        <f t="shared" si="38"/>
        <v>0</v>
      </c>
      <c r="AA72" s="189">
        <f t="shared" si="39"/>
        <v>15.012853448275862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231</v>
      </c>
      <c r="Q73" s="228">
        <v>2002</v>
      </c>
      <c r="R73" s="222">
        <f>876.71+1341.42</f>
        <v>2218.13</v>
      </c>
      <c r="S73" s="228"/>
      <c r="T73" s="228"/>
      <c r="U73" s="189">
        <f t="shared" si="34"/>
        <v>0</v>
      </c>
      <c r="V73" s="189">
        <f t="shared" si="35"/>
        <v>16.635975000000002</v>
      </c>
      <c r="W73" s="189">
        <f t="shared" si="36"/>
        <v>0</v>
      </c>
      <c r="X73" s="189">
        <f t="shared" si="37"/>
        <v>0</v>
      </c>
      <c r="Y73" s="189">
        <f t="shared" si="38"/>
        <v>2201.494025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699</v>
      </c>
      <c r="Q74" s="228">
        <v>2002</v>
      </c>
      <c r="R74" s="238">
        <v>998.94</v>
      </c>
      <c r="S74" s="228"/>
      <c r="T74" s="228"/>
      <c r="U74" s="189">
        <f t="shared" si="34"/>
        <v>0</v>
      </c>
      <c r="V74" s="189">
        <f t="shared" si="35"/>
        <v>7.4920499999999999</v>
      </c>
      <c r="W74" s="189">
        <f t="shared" si="36"/>
        <v>0</v>
      </c>
      <c r="X74" s="189">
        <f t="shared" si="37"/>
        <v>0</v>
      </c>
      <c r="Y74" s="189">
        <f t="shared" si="38"/>
        <v>991.44795000000011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6157.07</v>
      </c>
      <c r="S75" s="192"/>
      <c r="T75" s="192">
        <f>SUM(T70:T74)</f>
        <v>57.95</v>
      </c>
      <c r="U75" s="192">
        <f>SUM(U70:U74)</f>
        <v>2.4978448275862077</v>
      </c>
      <c r="V75" s="192">
        <f t="shared" ref="V75:AA75" si="41">SUM(V70:V74)</f>
        <v>46.178024999999998</v>
      </c>
      <c r="W75" s="192">
        <f t="shared" si="41"/>
        <v>0</v>
      </c>
      <c r="X75" s="192">
        <f t="shared" si="41"/>
        <v>1.44875</v>
      </c>
      <c r="Y75" s="192">
        <f t="shared" si="41"/>
        <v>6110.8919750000005</v>
      </c>
      <c r="Z75" s="192">
        <f t="shared" si="41"/>
        <v>0</v>
      </c>
      <c r="AA75" s="193">
        <f t="shared" si="41"/>
        <v>54.0034051724138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119.53</v>
      </c>
      <c r="Q78" s="137">
        <v>15.88</v>
      </c>
      <c r="R78" s="82">
        <v>7.4999999999999997E-3</v>
      </c>
      <c r="S78" s="194">
        <f>+(P78+Q78)*R78</f>
        <v>1.0155749999999999</v>
      </c>
      <c r="T78" s="246">
        <f>+(P78+Q78)-S78</f>
        <v>134.39442499999998</v>
      </c>
      <c r="U78" s="211">
        <v>55.17</v>
      </c>
      <c r="V78" s="112"/>
      <c r="W78" s="113">
        <v>1.4999999999999999E-2</v>
      </c>
      <c r="X78" s="196">
        <f>+(U78+V78)*W78</f>
        <v>0.82755000000000001</v>
      </c>
      <c r="Y78" s="258">
        <f>+(U78+V78)-X78</f>
        <v>54.342449999999999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354.99</v>
      </c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46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58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v>11.65</v>
      </c>
      <c r="R80" s="82">
        <v>7.4999999999999997E-3</v>
      </c>
      <c r="S80" s="194">
        <f t="shared" si="43"/>
        <v>8.7374999999999994E-2</v>
      </c>
      <c r="T80" s="246">
        <f t="shared" si="44"/>
        <v>11.562625000000001</v>
      </c>
      <c r="U80" s="211">
        <v>91.83</v>
      </c>
      <c r="V80" s="112"/>
      <c r="W80" s="113">
        <v>1.4999999999999999E-2</v>
      </c>
      <c r="X80" s="196">
        <f t="shared" si="45"/>
        <v>1.3774499999999998</v>
      </c>
      <c r="Y80" s="258">
        <f t="shared" si="46"/>
        <v>90.452550000000002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354.99</v>
      </c>
      <c r="N81" s="87">
        <v>4</v>
      </c>
      <c r="O81" s="87" t="s">
        <v>112</v>
      </c>
      <c r="P81" s="137">
        <v>197.98</v>
      </c>
      <c r="Q81" s="87">
        <v>11.79</v>
      </c>
      <c r="R81" s="82">
        <v>7.4999999999999997E-3</v>
      </c>
      <c r="S81" s="194">
        <f t="shared" si="43"/>
        <v>1.5732749999999998</v>
      </c>
      <c r="T81" s="213">
        <f t="shared" si="44"/>
        <v>208.19672499999999</v>
      </c>
      <c r="U81" s="211">
        <v>94.67</v>
      </c>
      <c r="V81" s="112"/>
      <c r="W81" s="113">
        <v>1.4999999999999999E-2</v>
      </c>
      <c r="X81" s="196">
        <f t="shared" si="45"/>
        <v>1.42005</v>
      </c>
      <c r="Y81" s="213">
        <f t="shared" si="46"/>
        <v>93.249949999999998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0.84</v>
      </c>
      <c r="Q82" s="137"/>
      <c r="R82" s="82">
        <v>7.4999999999999997E-3</v>
      </c>
      <c r="S82" s="194">
        <f t="shared" si="43"/>
        <v>6.2999999999999992E-3</v>
      </c>
      <c r="T82" s="213">
        <f t="shared" si="44"/>
        <v>0.8337</v>
      </c>
      <c r="U82" s="112">
        <v>96.2</v>
      </c>
      <c r="V82" s="112"/>
      <c r="W82" s="113">
        <v>1.4999999999999999E-2</v>
      </c>
      <c r="X82" s="196">
        <f t="shared" si="45"/>
        <v>1.4430000000000001</v>
      </c>
      <c r="Y82" s="213">
        <f t="shared" si="46"/>
        <v>94.757000000000005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318.34999999999997</v>
      </c>
      <c r="Q98" s="195">
        <f>SUM(Q78:Q97)</f>
        <v>39.32</v>
      </c>
      <c r="R98" s="111"/>
      <c r="S98" s="195">
        <f>SUM(S78:S97)</f>
        <v>2.6825249999999996</v>
      </c>
      <c r="T98" s="195">
        <f>SUM(T78:T97)</f>
        <v>354.98747500000002</v>
      </c>
      <c r="U98" s="114">
        <f>SUM(U78:U97)</f>
        <v>337.87</v>
      </c>
      <c r="V98" s="114">
        <f>SUM(V78:V97)</f>
        <v>0</v>
      </c>
      <c r="W98" s="112"/>
      <c r="X98" s="197">
        <f>SUM(X78:X97)</f>
        <v>5.0680499999999995</v>
      </c>
      <c r="Y98" s="197">
        <f>SUM(Y78:Y97)</f>
        <v>332.80195000000003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</row>
    <row r="101" spans="14:30" x14ac:dyDescent="0.25">
      <c r="N101" s="85"/>
      <c r="P101" s="84"/>
      <c r="Q101" s="215">
        <f>P78+U78+Q78</f>
        <v>190.57999999999998</v>
      </c>
    </row>
    <row r="102" spans="14:30" x14ac:dyDescent="0.25">
      <c r="N102" s="85"/>
      <c r="P102" s="84"/>
      <c r="Q102" s="215">
        <f>P79+U79+Q79</f>
        <v>0</v>
      </c>
    </row>
    <row r="103" spans="14:30" x14ac:dyDescent="0.25">
      <c r="N103" s="85"/>
      <c r="P103" s="84"/>
      <c r="Q103" s="215">
        <f>P80+Q80+U80</f>
        <v>103.48</v>
      </c>
    </row>
    <row r="104" spans="14:30" x14ac:dyDescent="0.25">
      <c r="N104" s="85"/>
      <c r="P104" s="84"/>
      <c r="Q104" s="215">
        <f>P81+Q81+U81</f>
        <v>304.44</v>
      </c>
    </row>
    <row r="105" spans="14:30" x14ac:dyDescent="0.25">
      <c r="N105" s="85"/>
      <c r="P105" s="84"/>
      <c r="Q105" s="236">
        <f>P82+Q82+U82</f>
        <v>97.04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932</v>
      </c>
      <c r="C12" s="15"/>
      <c r="D12" s="56"/>
      <c r="E12" s="16"/>
      <c r="F12" s="56"/>
      <c r="G12" s="56"/>
      <c r="H12" s="17"/>
      <c r="I12" s="83">
        <v>932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607</v>
      </c>
      <c r="C13" s="15"/>
      <c r="D13" s="56"/>
      <c r="E13" s="16"/>
      <c r="F13" s="56"/>
      <c r="G13" s="56"/>
      <c r="H13" s="17"/>
      <c r="I13" s="83">
        <v>607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3374.9199999999996</v>
      </c>
      <c r="C14" s="15"/>
      <c r="D14" s="56"/>
      <c r="E14" s="16"/>
      <c r="F14" s="56"/>
      <c r="G14" s="56"/>
      <c r="H14" s="17"/>
      <c r="I14" s="83">
        <v>3374.92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607</v>
      </c>
      <c r="C19" s="95"/>
      <c r="D19" s="94"/>
      <c r="E19" s="96"/>
      <c r="F19" s="94"/>
      <c r="G19" s="94"/>
      <c r="H19" s="98"/>
      <c r="I19" s="99">
        <v>607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3374.9199999999996</v>
      </c>
      <c r="C20" s="95"/>
      <c r="D20" s="94"/>
      <c r="E20" s="96"/>
      <c r="F20" s="94"/>
      <c r="G20" s="94"/>
      <c r="H20" s="98"/>
      <c r="I20" s="99">
        <v>3374.92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23.17</v>
      </c>
      <c r="C37" s="100"/>
      <c r="D37" s="66"/>
      <c r="E37" s="67"/>
      <c r="F37" s="66"/>
      <c r="G37" s="66"/>
      <c r="H37" s="102"/>
      <c r="I37" s="79">
        <v>23.17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128.8252</v>
      </c>
      <c r="C38" s="100"/>
      <c r="D38" s="66"/>
      <c r="E38" s="67"/>
      <c r="F38" s="66"/>
      <c r="G38" s="66"/>
      <c r="H38" s="102"/>
      <c r="I38" s="79">
        <v>128.83000000000001</v>
      </c>
      <c r="J38" s="81">
        <f t="shared" si="0"/>
        <v>-4.8000000000172349E-3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23.17</v>
      </c>
      <c r="C43" s="95"/>
      <c r="D43" s="94"/>
      <c r="E43" s="96"/>
      <c r="F43" s="94"/>
      <c r="G43" s="94"/>
      <c r="H43" s="98"/>
      <c r="I43" s="99">
        <v>23.17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128.8252</v>
      </c>
      <c r="C44" s="95"/>
      <c r="D44" s="94"/>
      <c r="E44" s="96"/>
      <c r="F44" s="94"/>
      <c r="G44" s="94"/>
      <c r="H44" s="98"/>
      <c r="I44" s="99">
        <v>128.83000000000001</v>
      </c>
      <c r="J44" s="185">
        <f t="shared" si="0"/>
        <v>-4.8000000000172349E-3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44746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4801.96</v>
      </c>
      <c r="C49" s="116">
        <v>7.4999999999999997E-3</v>
      </c>
      <c r="D49" s="117">
        <f t="shared" si="18"/>
        <v>36.014699999999998</v>
      </c>
      <c r="E49" s="172">
        <v>0</v>
      </c>
      <c r="F49" s="117">
        <f t="shared" si="15"/>
        <v>0</v>
      </c>
      <c r="G49" s="117">
        <f t="shared" si="16"/>
        <v>4765.9453000000003</v>
      </c>
      <c r="H49" s="173">
        <f t="shared" si="19"/>
        <v>44746</v>
      </c>
      <c r="I49" s="176">
        <f>5.56+4796.4</f>
        <v>4801.96</v>
      </c>
      <c r="J49" s="81">
        <f t="shared" si="0"/>
        <v>0</v>
      </c>
      <c r="K49" s="80"/>
      <c r="L49" s="186">
        <f t="shared" si="17"/>
        <v>4765.9453000000003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249.78</v>
      </c>
      <c r="C50" s="116">
        <v>7.4999999999999997E-3</v>
      </c>
      <c r="D50" s="117">
        <f t="shared" si="18"/>
        <v>1.8733499999999998</v>
      </c>
      <c r="E50" s="172">
        <v>0</v>
      </c>
      <c r="F50" s="117">
        <f t="shared" si="15"/>
        <v>0</v>
      </c>
      <c r="G50" s="117">
        <f t="shared" si="16"/>
        <v>247.90665000000001</v>
      </c>
      <c r="H50" s="173">
        <f t="shared" si="19"/>
        <v>44746</v>
      </c>
      <c r="I50" s="175"/>
      <c r="J50" s="81">
        <f t="shared" si="0"/>
        <v>249.78</v>
      </c>
      <c r="K50" s="80">
        <v>247.91</v>
      </c>
      <c r="L50" s="186">
        <f t="shared" si="17"/>
        <v>-3.3499999999833108E-3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362.32</v>
      </c>
      <c r="C51" s="116">
        <v>1.4999999999999999E-2</v>
      </c>
      <c r="D51" s="117">
        <f>+B51*C51</f>
        <v>5.4348000000000001</v>
      </c>
      <c r="E51" s="172">
        <v>0</v>
      </c>
      <c r="F51" s="117">
        <f>D51*E51</f>
        <v>0</v>
      </c>
      <c r="G51" s="117">
        <f t="shared" si="16"/>
        <v>356.8852</v>
      </c>
      <c r="H51" s="173">
        <f t="shared" si="19"/>
        <v>44746</v>
      </c>
      <c r="I51" s="175">
        <v>612.1</v>
      </c>
      <c r="J51" s="81">
        <f t="shared" si="0"/>
        <v>-249.78000000000003</v>
      </c>
      <c r="K51" s="80">
        <v>356.89</v>
      </c>
      <c r="L51" s="186">
        <f t="shared" si="17"/>
        <v>-4.7999999999888132E-3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44746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5" si="20">B53*C53</f>
        <v>0</v>
      </c>
      <c r="E53" s="172">
        <v>0.05</v>
      </c>
      <c r="F53" s="117">
        <f t="shared" ref="F53:F55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192</v>
      </c>
      <c r="B56" s="117">
        <f>T75</f>
        <v>71.37</v>
      </c>
      <c r="C56" s="116">
        <v>2.5000000000000001E-2</v>
      </c>
      <c r="D56" s="117">
        <f>B56*C56</f>
        <v>1.7842500000000001</v>
      </c>
      <c r="E56" s="172">
        <v>0.05</v>
      </c>
      <c r="F56" s="117">
        <f>(B56/E$10)*E56</f>
        <v>3.0762931034482763</v>
      </c>
      <c r="G56" s="117">
        <f>B56-D56-F56</f>
        <v>66.509456896551725</v>
      </c>
      <c r="H56" s="173">
        <f t="shared" si="19"/>
        <v>44746</v>
      </c>
      <c r="I56" s="219">
        <f>22.43+48.94</f>
        <v>71.37</v>
      </c>
      <c r="J56" s="81">
        <f t="shared" si="0"/>
        <v>0</v>
      </c>
      <c r="K56" s="80"/>
      <c r="L56" s="186">
        <f t="shared" si="17"/>
        <v>66.509456896551725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45.107100000000003</v>
      </c>
      <c r="E61" s="177"/>
      <c r="F61" s="57">
        <f>SUM(F46:F58)</f>
        <v>3.0762931034482763</v>
      </c>
      <c r="G61" s="57">
        <f>SUM(G46:G58)</f>
        <v>5437.2466068965514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5437.2466068965514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10874.493213793103</v>
      </c>
      <c r="H64" s="184"/>
      <c r="I64" s="175"/>
      <c r="J64" s="81">
        <f t="shared" si="0"/>
        <v>0</v>
      </c>
      <c r="K64" s="80"/>
      <c r="L64" s="186">
        <f t="shared" si="17"/>
        <v>10874.493213793103</v>
      </c>
      <c r="M64" s="130"/>
      <c r="N64" s="87">
        <v>1</v>
      </c>
      <c r="O64" s="122" t="s">
        <v>190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9921.1752000000015</v>
      </c>
      <c r="G65" s="22"/>
      <c r="L65" s="132"/>
      <c r="M65" s="131"/>
      <c r="N65" s="87">
        <v>2</v>
      </c>
      <c r="O65" s="122" t="s">
        <v>190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190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9815.6299999999992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9908.74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191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-93.110000000000582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104</v>
      </c>
      <c r="Q70" s="228">
        <v>1001</v>
      </c>
      <c r="R70" s="222">
        <v>5.56</v>
      </c>
      <c r="S70" s="228"/>
      <c r="T70" s="222">
        <v>15.63</v>
      </c>
      <c r="U70" s="189">
        <f t="shared" ref="U70:U74" si="34">((T70/U$10)*U$9)</f>
        <v>0.67370689655172422</v>
      </c>
      <c r="V70" s="189">
        <f t="shared" ref="V70:V74" si="35">R70*V$10</f>
        <v>4.1699999999999994E-2</v>
      </c>
      <c r="W70" s="189">
        <f t="shared" ref="W70:W74" si="36">+S70*V$10</f>
        <v>0</v>
      </c>
      <c r="X70" s="189">
        <f t="shared" ref="X70:X74" si="37">+T70*X$10</f>
        <v>0.39075000000000004</v>
      </c>
      <c r="Y70" s="189">
        <f t="shared" ref="Y70:Z74" si="38">R70-V70</f>
        <v>5.5183</v>
      </c>
      <c r="Z70" s="189">
        <f t="shared" si="38"/>
        <v>0</v>
      </c>
      <c r="AA70" s="189">
        <f t="shared" ref="AA70:AA74" si="39">T70-U70-X70</f>
        <v>14.565543103448276</v>
      </c>
      <c r="AB70" s="87"/>
    </row>
    <row r="71" spans="1:30" ht="28.5" customHeight="1" thickBot="1" x14ac:dyDescent="0.3">
      <c r="A71" s="25" t="s">
        <v>57</v>
      </c>
      <c r="B71" s="70">
        <f>(B65-B69)-B72</f>
        <v>12.435200000001714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233</v>
      </c>
      <c r="Q72" s="228">
        <v>2003</v>
      </c>
      <c r="R72" s="255">
        <f>377.53+828.53</f>
        <v>1206.06</v>
      </c>
      <c r="S72" s="228"/>
      <c r="T72" s="222"/>
      <c r="U72" s="189">
        <f t="shared" si="34"/>
        <v>0</v>
      </c>
      <c r="V72" s="189">
        <f t="shared" si="35"/>
        <v>9.0454499999999989</v>
      </c>
      <c r="W72" s="189">
        <f t="shared" si="36"/>
        <v>0</v>
      </c>
      <c r="X72" s="189">
        <f t="shared" si="37"/>
        <v>0</v>
      </c>
      <c r="Y72" s="189">
        <f t="shared" si="38"/>
        <v>1197.0145499999999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232</v>
      </c>
      <c r="Q73" s="228">
        <v>2002</v>
      </c>
      <c r="R73" s="222">
        <f>1661.02+1059.23</f>
        <v>2720.25</v>
      </c>
      <c r="S73" s="228"/>
      <c r="T73" s="256">
        <v>22.43</v>
      </c>
      <c r="U73" s="189">
        <f t="shared" si="34"/>
        <v>0.96681034482758632</v>
      </c>
      <c r="V73" s="189">
        <f t="shared" si="35"/>
        <v>20.401875</v>
      </c>
      <c r="W73" s="189">
        <f t="shared" si="36"/>
        <v>0</v>
      </c>
      <c r="X73" s="189">
        <f t="shared" si="37"/>
        <v>0.56074999999999997</v>
      </c>
      <c r="Y73" s="189">
        <f t="shared" si="38"/>
        <v>2699.848125</v>
      </c>
      <c r="Z73" s="189">
        <f t="shared" si="38"/>
        <v>0</v>
      </c>
      <c r="AA73" s="189">
        <f t="shared" si="39"/>
        <v>20.902439655172415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234</v>
      </c>
      <c r="Q74" s="228">
        <v>1001</v>
      </c>
      <c r="R74" s="255">
        <v>870.09</v>
      </c>
      <c r="S74" s="228"/>
      <c r="T74" s="222">
        <v>33.31</v>
      </c>
      <c r="U74" s="189">
        <f t="shared" si="34"/>
        <v>1.4357758620689658</v>
      </c>
      <c r="V74" s="189">
        <f t="shared" si="35"/>
        <v>6.5256749999999997</v>
      </c>
      <c r="W74" s="189">
        <f t="shared" si="36"/>
        <v>0</v>
      </c>
      <c r="X74" s="189">
        <f t="shared" si="37"/>
        <v>0.8327500000000001</v>
      </c>
      <c r="Y74" s="189">
        <f t="shared" si="38"/>
        <v>863.56432500000005</v>
      </c>
      <c r="Z74" s="189">
        <f t="shared" si="38"/>
        <v>0</v>
      </c>
      <c r="AA74" s="189">
        <f t="shared" si="39"/>
        <v>31.041474137931036</v>
      </c>
      <c r="AB74" s="87"/>
    </row>
    <row r="75" spans="1:30" ht="15.75" x14ac:dyDescent="0.25">
      <c r="K75" s="224"/>
      <c r="L75" s="224"/>
      <c r="N75" s="302" t="s">
        <v>179</v>
      </c>
      <c r="O75" s="302"/>
      <c r="P75" s="303"/>
      <c r="Q75" s="303"/>
      <c r="R75" s="192">
        <f>SUM(R70:R74)</f>
        <v>4801.96</v>
      </c>
      <c r="S75" s="192"/>
      <c r="T75" s="192">
        <f>SUM(T70:T74)</f>
        <v>71.37</v>
      </c>
      <c r="U75" s="192">
        <f>SUM(U70:U74)</f>
        <v>3.0762931034482763</v>
      </c>
      <c r="V75" s="192">
        <f t="shared" ref="V75:AA75" si="41">SUM(V70:V74)</f>
        <v>36.014699999999998</v>
      </c>
      <c r="W75" s="192">
        <f t="shared" si="41"/>
        <v>0</v>
      </c>
      <c r="X75" s="192">
        <f t="shared" si="41"/>
        <v>1.7842500000000001</v>
      </c>
      <c r="Y75" s="192">
        <f t="shared" si="41"/>
        <v>4765.9453000000003</v>
      </c>
      <c r="Z75" s="192">
        <f t="shared" si="41"/>
        <v>0</v>
      </c>
      <c r="AA75" s="193">
        <f t="shared" si="41"/>
        <v>66.509456896551725</v>
      </c>
      <c r="AB75" s="103"/>
    </row>
    <row r="76" spans="1:30" ht="15.75" x14ac:dyDescent="0.25">
      <c r="K76" s="224"/>
      <c r="L76" s="212"/>
      <c r="M76" s="250">
        <f>L76</f>
        <v>0</v>
      </c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36.85</v>
      </c>
      <c r="Q78" s="137">
        <v>47.23</v>
      </c>
      <c r="R78" s="82">
        <v>7.4999999999999997E-3</v>
      </c>
      <c r="S78" s="194">
        <f>+(P78+Q78)*R78</f>
        <v>0.63059999999999994</v>
      </c>
      <c r="T78" s="258">
        <f>+(P78+Q78)-S78</f>
        <v>83.449399999999997</v>
      </c>
      <c r="U78" s="211">
        <v>26.24</v>
      </c>
      <c r="V78" s="112"/>
      <c r="W78" s="113">
        <v>1.4999999999999999E-2</v>
      </c>
      <c r="X78" s="196">
        <f>+(U78+V78)*W78</f>
        <v>0.39359999999999995</v>
      </c>
      <c r="Y78" s="246">
        <f>+(U78+V78)-X78</f>
        <v>25.846399999999999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5.35</v>
      </c>
      <c r="Q79" s="137"/>
      <c r="R79" s="82">
        <v>7.4999999999999997E-3</v>
      </c>
      <c r="S79" s="194">
        <f t="shared" ref="S79:S97" si="43">+(P79+Q79)*R79</f>
        <v>4.0124999999999994E-2</v>
      </c>
      <c r="T79" s="258">
        <f>+(P79+Q79)-S79</f>
        <v>5.3098749999999999</v>
      </c>
      <c r="U79" s="211">
        <v>78.7</v>
      </c>
      <c r="V79" s="112"/>
      <c r="W79" s="113">
        <v>1.4999999999999999E-2</v>
      </c>
      <c r="X79" s="196">
        <f t="shared" ref="X79:X97" si="44">+(U79+V79)*W79</f>
        <v>1.1805000000000001</v>
      </c>
      <c r="Y79" s="246">
        <f t="shared" ref="Y79:Y97" si="45">+(U79+V79)-X79</f>
        <v>77.519500000000008</v>
      </c>
      <c r="Z79" s="87"/>
      <c r="AA79" s="189">
        <f t="shared" si="42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66.180000000000007</v>
      </c>
      <c r="Q80" s="137">
        <v>22.06</v>
      </c>
      <c r="R80" s="82">
        <v>7.4999999999999997E-3</v>
      </c>
      <c r="S80" s="194">
        <f t="shared" si="43"/>
        <v>0.66180000000000005</v>
      </c>
      <c r="T80" s="246">
        <f t="shared" ref="T80:T97" si="48">+(P80+Q80)-S80</f>
        <v>87.57820000000001</v>
      </c>
      <c r="U80" s="211">
        <v>175.68</v>
      </c>
      <c r="V80" s="112">
        <v>0</v>
      </c>
      <c r="W80" s="113">
        <v>1.4999999999999999E-2</v>
      </c>
      <c r="X80" s="196">
        <f t="shared" si="44"/>
        <v>2.6352000000000002</v>
      </c>
      <c r="Y80" s="258">
        <f t="shared" si="45"/>
        <v>173.04480000000001</v>
      </c>
      <c r="Z80" s="87"/>
      <c r="AA80" s="189">
        <f t="shared" si="42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72.11</v>
      </c>
      <c r="Q81" s="137"/>
      <c r="R81" s="82">
        <v>7.4999999999999997E-3</v>
      </c>
      <c r="S81" s="194">
        <f t="shared" si="43"/>
        <v>0.540825</v>
      </c>
      <c r="T81" s="246">
        <f t="shared" si="48"/>
        <v>71.569175000000001</v>
      </c>
      <c r="U81" s="211">
        <v>81.7</v>
      </c>
      <c r="V81" s="112"/>
      <c r="W81" s="113">
        <v>1.4999999999999999E-2</v>
      </c>
      <c r="X81" s="196">
        <f t="shared" si="44"/>
        <v>1.2255</v>
      </c>
      <c r="Y81" s="258">
        <f t="shared" si="45"/>
        <v>80.474500000000006</v>
      </c>
      <c r="Z81" s="87"/>
      <c r="AA81" s="189">
        <f t="shared" si="42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2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8"/>
        <v>0</v>
      </c>
      <c r="U83" s="211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2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8"/>
        <v>0</v>
      </c>
      <c r="U84" s="211"/>
      <c r="V84" s="112"/>
      <c r="W84" s="113">
        <v>1.4999999999999999E-2</v>
      </c>
      <c r="X84" s="196">
        <f t="shared" si="44"/>
        <v>0</v>
      </c>
      <c r="Y84" s="217">
        <f t="shared" si="45"/>
        <v>0</v>
      </c>
      <c r="Z84" s="87"/>
      <c r="AA84" s="189">
        <f t="shared" si="42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2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2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2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2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2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2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2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2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2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2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2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2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2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180.49</v>
      </c>
      <c r="Q98" s="195">
        <f>SUM(Q78:Q97)</f>
        <v>69.289999999999992</v>
      </c>
      <c r="R98" s="111"/>
      <c r="S98" s="195">
        <f>SUM(S78:S97)</f>
        <v>1.8733499999999998</v>
      </c>
      <c r="T98" s="195">
        <f>SUM(T78:T97)</f>
        <v>247.90665000000001</v>
      </c>
      <c r="U98" s="114">
        <f>SUM(U78:U97)</f>
        <v>362.32</v>
      </c>
      <c r="V98" s="114">
        <f>SUM(V78:V97)</f>
        <v>0</v>
      </c>
      <c r="W98" s="112"/>
      <c r="X98" s="197">
        <f>SUM(X78:X97)</f>
        <v>5.434800000000001</v>
      </c>
      <c r="Y98" s="197">
        <f>SUM(Y78:Y97)</f>
        <v>356.88520000000005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110.32</v>
      </c>
    </row>
    <row r="101" spans="14:30" x14ac:dyDescent="0.25">
      <c r="N101" s="85"/>
      <c r="Q101" s="215">
        <f>P79+Q79+U79</f>
        <v>84.05</v>
      </c>
    </row>
    <row r="102" spans="14:30" x14ac:dyDescent="0.25">
      <c r="N102" s="85"/>
      <c r="Q102" s="215">
        <f>P80+Q80+U80</f>
        <v>263.92</v>
      </c>
    </row>
    <row r="103" spans="14:30" x14ac:dyDescent="0.25">
      <c r="N103" s="85"/>
      <c r="Q103" s="215">
        <f>U81+Q81+P81</f>
        <v>153.81</v>
      </c>
    </row>
    <row r="104" spans="14:30" x14ac:dyDescent="0.25">
      <c r="N104" s="85"/>
      <c r="Q104" s="212">
        <f>P82+Q82+U82</f>
        <v>0</v>
      </c>
    </row>
    <row r="105" spans="14:30" x14ac:dyDescent="0.25">
      <c r="N105" s="85"/>
      <c r="Q105" s="212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8" zoomScale="90" zoomScaleNormal="90" workbookViewId="0">
      <selection activeCell="A5" sqref="A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830</v>
      </c>
      <c r="C12" s="15"/>
      <c r="D12" s="56"/>
      <c r="E12" s="16"/>
      <c r="F12" s="56"/>
      <c r="G12" s="56"/>
      <c r="H12" s="17"/>
      <c r="I12" s="83">
        <v>830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466</v>
      </c>
      <c r="C13" s="15"/>
      <c r="D13" s="56"/>
      <c r="E13" s="16"/>
      <c r="F13" s="56"/>
      <c r="G13" s="56"/>
      <c r="H13" s="17"/>
      <c r="I13" s="137">
        <v>466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2590.96</v>
      </c>
      <c r="C14" s="15"/>
      <c r="D14" s="56"/>
      <c r="E14" s="16"/>
      <c r="F14" s="56"/>
      <c r="G14" s="56"/>
      <c r="H14" s="17"/>
      <c r="I14" s="83">
        <v>2590.96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466</v>
      </c>
      <c r="C19" s="95"/>
      <c r="D19" s="94"/>
      <c r="E19" s="96"/>
      <c r="F19" s="94"/>
      <c r="G19" s="94"/>
      <c r="H19" s="98"/>
      <c r="I19" s="99">
        <v>466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2590.96</v>
      </c>
      <c r="C20" s="95"/>
      <c r="D20" s="94"/>
      <c r="E20" s="96"/>
      <c r="F20" s="94"/>
      <c r="G20" s="94"/>
      <c r="H20" s="98"/>
      <c r="I20" s="99">
        <v>2590.96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7.85</v>
      </c>
      <c r="C37" s="100"/>
      <c r="D37" s="66"/>
      <c r="E37" s="67"/>
      <c r="F37" s="66"/>
      <c r="G37" s="66"/>
      <c r="H37" s="102"/>
      <c r="I37" s="79">
        <v>7.85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43.645999999999994</v>
      </c>
      <c r="C38" s="100"/>
      <c r="D38" s="66"/>
      <c r="E38" s="67"/>
      <c r="F38" s="66"/>
      <c r="G38" s="66"/>
      <c r="H38" s="102"/>
      <c r="I38" s="79">
        <v>43.65</v>
      </c>
      <c r="J38" s="81">
        <f t="shared" si="0"/>
        <v>-4.0000000000048885E-3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7.85</v>
      </c>
      <c r="C43" s="95"/>
      <c r="D43" s="94"/>
      <c r="E43" s="96"/>
      <c r="F43" s="94"/>
      <c r="G43" s="94"/>
      <c r="H43" s="98"/>
      <c r="I43" s="99">
        <v>7.85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43.645999999999994</v>
      </c>
      <c r="C44" s="95"/>
      <c r="D44" s="94"/>
      <c r="E44" s="96"/>
      <c r="F44" s="94"/>
      <c r="G44" s="94"/>
      <c r="H44" s="98"/>
      <c r="I44" s="99">
        <v>43.65</v>
      </c>
      <c r="J44" s="185">
        <f t="shared" si="0"/>
        <v>-4.0000000000048885E-3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4511.1499999999996</v>
      </c>
      <c r="C49" s="116">
        <v>7.4999999999999997E-3</v>
      </c>
      <c r="D49" s="117">
        <f t="shared" si="17"/>
        <v>33.833624999999998</v>
      </c>
      <c r="E49" s="172">
        <v>0</v>
      </c>
      <c r="F49" s="117">
        <f t="shared" si="15"/>
        <v>0</v>
      </c>
      <c r="G49" s="117">
        <f t="shared" si="16"/>
        <v>4477.3163749999994</v>
      </c>
      <c r="H49" s="173">
        <f t="shared" si="19"/>
        <v>44747</v>
      </c>
      <c r="I49" s="176">
        <f>123.64+4387.51</f>
        <v>4511.1500000000005</v>
      </c>
      <c r="J49" s="81">
        <f t="shared" si="0"/>
        <v>0</v>
      </c>
      <c r="K49" s="80">
        <v>4477.32</v>
      </c>
      <c r="L49" s="186">
        <f t="shared" si="18"/>
        <v>-3.6250000002837623E-3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167.72</v>
      </c>
      <c r="C50" s="116">
        <v>7.4999999999999997E-3</v>
      </c>
      <c r="D50" s="117">
        <f t="shared" si="17"/>
        <v>1.2579</v>
      </c>
      <c r="E50" s="172">
        <v>0</v>
      </c>
      <c r="F50" s="117">
        <f t="shared" si="15"/>
        <v>0</v>
      </c>
      <c r="G50" s="117">
        <f t="shared" si="16"/>
        <v>166.46209999999999</v>
      </c>
      <c r="H50" s="173">
        <f t="shared" si="19"/>
        <v>44747</v>
      </c>
      <c r="I50" s="175"/>
      <c r="J50" s="81">
        <f t="shared" si="0"/>
        <v>167.72</v>
      </c>
      <c r="K50" s="80">
        <v>166.46</v>
      </c>
      <c r="L50" s="186">
        <f t="shared" si="18"/>
        <v>2.0999999999844476E-3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345.84</v>
      </c>
      <c r="C51" s="116">
        <v>1.4999999999999999E-2</v>
      </c>
      <c r="D51" s="117">
        <f>+B51*C51</f>
        <v>5.1875999999999998</v>
      </c>
      <c r="E51" s="172">
        <v>0</v>
      </c>
      <c r="F51" s="117">
        <f>D51*E51</f>
        <v>0</v>
      </c>
      <c r="G51" s="117">
        <f t="shared" si="16"/>
        <v>340.6524</v>
      </c>
      <c r="H51" s="173">
        <f t="shared" si="19"/>
        <v>44747</v>
      </c>
      <c r="I51" s="175">
        <v>513.55999999999995</v>
      </c>
      <c r="J51" s="81">
        <f t="shared" si="0"/>
        <v>-167.71999999999997</v>
      </c>
      <c r="K51" s="80">
        <v>340.65</v>
      </c>
      <c r="L51" s="186">
        <f t="shared" si="18"/>
        <v>2.4000000000228283E-3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89.57</v>
      </c>
      <c r="C56" s="116">
        <v>2.5000000000000001E-2</v>
      </c>
      <c r="D56" s="117">
        <f t="shared" si="20"/>
        <v>2.2392499999999997</v>
      </c>
      <c r="E56" s="172">
        <v>0.05</v>
      </c>
      <c r="F56" s="117">
        <f t="shared" si="21"/>
        <v>3.8607758620689658</v>
      </c>
      <c r="G56" s="117">
        <f t="shared" si="22"/>
        <v>83.469974137931032</v>
      </c>
      <c r="H56" s="173">
        <f t="shared" si="19"/>
        <v>44747</v>
      </c>
      <c r="I56" s="176">
        <v>89.57</v>
      </c>
      <c r="J56" s="81">
        <f t="shared" si="0"/>
        <v>0</v>
      </c>
      <c r="K56" s="80">
        <v>83.47</v>
      </c>
      <c r="L56" s="186">
        <f t="shared" si="18"/>
        <v>-2.5862068966375773E-5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42.518374999999992</v>
      </c>
      <c r="E61" s="177"/>
      <c r="F61" s="57">
        <f>SUM(F46:F58)</f>
        <v>3.8607758620689658</v>
      </c>
      <c r="G61" s="57">
        <f>SUM(G46:G58)</f>
        <v>5067.90084913793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5067.90084913793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10135.80169827586</v>
      </c>
      <c r="H64" s="184"/>
      <c r="I64" s="175"/>
      <c r="J64" s="81">
        <f t="shared" si="0"/>
        <v>0</v>
      </c>
      <c r="K64" s="80"/>
      <c r="L64" s="186">
        <f t="shared" si="18"/>
        <v>10135.80169827586</v>
      </c>
      <c r="M64" s="130"/>
      <c r="N64" s="87">
        <v>1</v>
      </c>
      <c r="O64" s="122" t="s">
        <v>181</v>
      </c>
      <c r="P64" s="228"/>
      <c r="Q64" s="228"/>
      <c r="R64" s="222"/>
      <c r="S64" s="228"/>
      <c r="T64" s="228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8578.8859999999986</v>
      </c>
      <c r="G65" s="22"/>
      <c r="L65" s="132"/>
      <c r="M65" s="131"/>
      <c r="N65" s="87">
        <v>2</v>
      </c>
      <c r="O65" s="122" t="s">
        <v>181</v>
      </c>
      <c r="P65" s="228"/>
      <c r="Q65" s="228"/>
      <c r="R65" s="228"/>
      <c r="S65" s="228"/>
      <c r="T65" s="228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8"/>
      <c r="Q66" s="228"/>
      <c r="R66" s="228"/>
      <c r="S66" s="228"/>
      <c r="T66" s="228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8521.11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8591.34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-70.229999999999563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88</v>
      </c>
      <c r="Q70" s="228">
        <v>1001</v>
      </c>
      <c r="R70" s="222"/>
      <c r="S70" s="228"/>
      <c r="T70" s="256">
        <v>36.39</v>
      </c>
      <c r="U70" s="189">
        <f t="shared" ref="U70:U74" si="34">((T70/U$10)*U$9)</f>
        <v>1.568534482758621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0.90975000000000006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33.911715517241376</v>
      </c>
      <c r="AB70" s="87"/>
    </row>
    <row r="71" spans="1:30" ht="28.5" customHeight="1" thickBot="1" x14ac:dyDescent="0.3">
      <c r="A71" s="25" t="s">
        <v>57</v>
      </c>
      <c r="B71" s="70">
        <f>(B65-B69)-B72</f>
        <v>-12.454000000001543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108</v>
      </c>
      <c r="Q71" s="228">
        <v>1001</v>
      </c>
      <c r="R71" s="255">
        <v>123.64</v>
      </c>
      <c r="S71" s="228"/>
      <c r="T71" s="256">
        <v>53.18</v>
      </c>
      <c r="U71" s="189">
        <f t="shared" si="34"/>
        <v>2.2922413793103451</v>
      </c>
      <c r="V71" s="189">
        <f t="shared" si="35"/>
        <v>0.92730000000000001</v>
      </c>
      <c r="W71" s="189">
        <f t="shared" si="36"/>
        <v>0</v>
      </c>
      <c r="X71" s="189">
        <f t="shared" si="37"/>
        <v>1.3295000000000001</v>
      </c>
      <c r="Y71" s="189">
        <f t="shared" si="38"/>
        <v>122.7127</v>
      </c>
      <c r="Z71" s="189">
        <f t="shared" si="38"/>
        <v>0</v>
      </c>
      <c r="AA71" s="189">
        <f t="shared" si="39"/>
        <v>49.558258620689649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25</v>
      </c>
      <c r="Q72" s="228">
        <v>2003</v>
      </c>
      <c r="R72" s="255">
        <v>855.59</v>
      </c>
      <c r="S72" s="228"/>
      <c r="T72" s="228"/>
      <c r="U72" s="189">
        <f t="shared" si="34"/>
        <v>0</v>
      </c>
      <c r="V72" s="189">
        <f t="shared" si="35"/>
        <v>6.416925</v>
      </c>
      <c r="W72" s="189">
        <f t="shared" si="36"/>
        <v>0</v>
      </c>
      <c r="X72" s="189">
        <f t="shared" si="37"/>
        <v>0</v>
      </c>
      <c r="Y72" s="189">
        <f t="shared" si="38"/>
        <v>849.17307500000004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702</v>
      </c>
      <c r="Q73" s="228">
        <v>2002</v>
      </c>
      <c r="R73" s="255">
        <v>1779.27</v>
      </c>
      <c r="S73" s="228"/>
      <c r="T73" s="228"/>
      <c r="U73" s="189">
        <f t="shared" si="34"/>
        <v>0</v>
      </c>
      <c r="V73" s="189">
        <f t="shared" si="35"/>
        <v>13.344524999999999</v>
      </c>
      <c r="W73" s="189">
        <f t="shared" si="36"/>
        <v>0</v>
      </c>
      <c r="X73" s="189">
        <f t="shared" si="37"/>
        <v>0</v>
      </c>
      <c r="Y73" s="189">
        <f t="shared" si="38"/>
        <v>1765.925475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708</v>
      </c>
      <c r="Q74" s="228">
        <v>2001</v>
      </c>
      <c r="R74" s="255">
        <v>1752.65</v>
      </c>
      <c r="S74" s="228"/>
      <c r="T74" s="228"/>
      <c r="U74" s="189">
        <f t="shared" si="34"/>
        <v>0</v>
      </c>
      <c r="V74" s="189">
        <f t="shared" si="35"/>
        <v>13.144875000000001</v>
      </c>
      <c r="W74" s="189">
        <f t="shared" si="36"/>
        <v>0</v>
      </c>
      <c r="X74" s="189">
        <f t="shared" si="37"/>
        <v>0</v>
      </c>
      <c r="Y74" s="189">
        <f t="shared" si="38"/>
        <v>1739.5051250000001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4511.1499999999996</v>
      </c>
      <c r="S75" s="192"/>
      <c r="T75" s="192">
        <f>SUM(T70:T74)</f>
        <v>89.57</v>
      </c>
      <c r="U75" s="192">
        <f>SUM(U70:U74)</f>
        <v>3.8607758620689658</v>
      </c>
      <c r="V75" s="192">
        <f t="shared" ref="V75:AA75" si="41">SUM(V70:V74)</f>
        <v>33.833624999999998</v>
      </c>
      <c r="W75" s="192">
        <f t="shared" si="41"/>
        <v>0</v>
      </c>
      <c r="X75" s="192">
        <f t="shared" si="41"/>
        <v>2.2392500000000002</v>
      </c>
      <c r="Y75" s="192">
        <f t="shared" si="41"/>
        <v>4477.3163750000003</v>
      </c>
      <c r="Z75" s="192">
        <f t="shared" si="41"/>
        <v>0</v>
      </c>
      <c r="AA75" s="193">
        <f t="shared" si="41"/>
        <v>83.469974137931018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11.88</v>
      </c>
      <c r="Q79" s="137">
        <v>85.04</v>
      </c>
      <c r="R79" s="82">
        <v>7.4999999999999997E-3</v>
      </c>
      <c r="S79" s="194">
        <f t="shared" ref="S79:S97" si="43">+(P79+Q79)*R79</f>
        <v>0.72689999999999999</v>
      </c>
      <c r="T79" s="246">
        <f t="shared" ref="T79:T97" si="44">+(P79+Q79)-S79</f>
        <v>96.193100000000001</v>
      </c>
      <c r="U79" s="211">
        <v>201.14</v>
      </c>
      <c r="V79" s="112"/>
      <c r="W79" s="113">
        <v>1.4999999999999999E-2</v>
      </c>
      <c r="X79" s="196">
        <f t="shared" ref="X79:X97" si="45">+(U79+V79)*W79</f>
        <v>3.0170999999999997</v>
      </c>
      <c r="Y79" s="246">
        <f t="shared" ref="Y79:Y97" si="46">+(U79+V79)-X79</f>
        <v>198.12289999999999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39.39</v>
      </c>
      <c r="Q80" s="137">
        <v>31.41</v>
      </c>
      <c r="R80" s="82">
        <v>7.4999999999999997E-3</v>
      </c>
      <c r="S80" s="194">
        <f t="shared" si="43"/>
        <v>0.53099999999999992</v>
      </c>
      <c r="T80" s="246">
        <f t="shared" si="44"/>
        <v>70.268999999999991</v>
      </c>
      <c r="U80" s="211">
        <v>144.69999999999999</v>
      </c>
      <c r="V80" s="112"/>
      <c r="W80" s="113">
        <v>1.4999999999999999E-2</v>
      </c>
      <c r="X80" s="196">
        <f t="shared" si="45"/>
        <v>2.1704999999999997</v>
      </c>
      <c r="Y80" s="246">
        <f t="shared" si="46"/>
        <v>142.52949999999998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51.27</v>
      </c>
      <c r="Q98" s="195">
        <f>SUM(Q78:Q97)</f>
        <v>116.45</v>
      </c>
      <c r="R98" s="111"/>
      <c r="S98" s="195">
        <f>SUM(S78:S97)</f>
        <v>1.2578999999999998</v>
      </c>
      <c r="T98" s="195">
        <f>SUM(T78:T97)</f>
        <v>166.46209999999999</v>
      </c>
      <c r="U98" s="114">
        <f>SUM(U78:U97)</f>
        <v>345.84</v>
      </c>
      <c r="V98" s="114">
        <f>SUM(V78:V97)</f>
        <v>0</v>
      </c>
      <c r="W98" s="112"/>
      <c r="X98" s="197">
        <f>SUM(X78:X97)</f>
        <v>5.1875999999999998</v>
      </c>
      <c r="Y98" s="197">
        <f>SUM(Y78:Y97)</f>
        <v>340.65239999999994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0</v>
      </c>
    </row>
    <row r="101" spans="14:30" x14ac:dyDescent="0.25">
      <c r="N101" s="85"/>
      <c r="P101" s="215">
        <f>P79+Q79+U79</f>
        <v>298.06</v>
      </c>
      <c r="Q101" s="212"/>
    </row>
    <row r="102" spans="14:30" x14ac:dyDescent="0.25">
      <c r="N102" s="85"/>
      <c r="P102" s="215">
        <f>P80+Q80+U80</f>
        <v>215.5</v>
      </c>
      <c r="Q102" s="212"/>
    </row>
    <row r="103" spans="14:30" x14ac:dyDescent="0.25">
      <c r="N103" s="85"/>
      <c r="P103" s="212">
        <f>P81+Q81+U81</f>
        <v>0</v>
      </c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11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>
        <v>5.8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853.5</v>
      </c>
      <c r="C12" s="15"/>
      <c r="D12" s="56"/>
      <c r="E12" s="16"/>
      <c r="F12" s="56"/>
      <c r="G12" s="56"/>
      <c r="H12" s="17"/>
      <c r="I12" s="83">
        <v>853.5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467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467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2596.52</v>
      </c>
      <c r="C14" s="15"/>
      <c r="D14" s="56"/>
      <c r="E14" s="16"/>
      <c r="F14" s="56"/>
      <c r="G14" s="56"/>
      <c r="H14" s="17"/>
      <c r="I14" s="83"/>
      <c r="J14" s="81">
        <f t="shared" si="0"/>
        <v>2596.52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467</v>
      </c>
      <c r="C19" s="95"/>
      <c r="D19" s="94"/>
      <c r="E19" s="96"/>
      <c r="F19" s="94"/>
      <c r="G19" s="94"/>
      <c r="H19" s="98"/>
      <c r="I19" s="99">
        <v>467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2596.52</v>
      </c>
      <c r="C20" s="95"/>
      <c r="D20" s="94"/>
      <c r="E20" s="96"/>
      <c r="F20" s="94"/>
      <c r="G20" s="94"/>
      <c r="H20" s="98"/>
      <c r="I20" s="99">
        <v>2601.19</v>
      </c>
      <c r="J20" s="185">
        <f t="shared" si="0"/>
        <v>-4.6700000000000728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</v>
      </c>
      <c r="C21" s="100"/>
      <c r="D21" s="66"/>
      <c r="E21" s="67"/>
      <c r="F21" s="66"/>
      <c r="G21" s="66"/>
      <c r="H21" s="102"/>
      <c r="I21" s="257">
        <v>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</v>
      </c>
      <c r="C22" s="100"/>
      <c r="D22" s="66"/>
      <c r="E22" s="67"/>
      <c r="F22" s="66"/>
      <c r="G22" s="66"/>
      <c r="H22" s="102"/>
      <c r="I22" s="79"/>
      <c r="J22" s="81">
        <f t="shared" si="0"/>
        <v>29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</v>
      </c>
      <c r="C28" s="95"/>
      <c r="D28" s="94"/>
      <c r="E28" s="96"/>
      <c r="F28" s="94"/>
      <c r="G28" s="94"/>
      <c r="H28" s="98"/>
      <c r="I28" s="99">
        <v>28.35</v>
      </c>
      <c r="J28" s="185">
        <f t="shared" si="0"/>
        <v>0.64999999999999858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23.2</v>
      </c>
      <c r="C37" s="100"/>
      <c r="D37" s="66"/>
      <c r="E37" s="67"/>
      <c r="F37" s="66"/>
      <c r="G37" s="66"/>
      <c r="H37" s="102"/>
      <c r="I37" s="79">
        <v>23.2</v>
      </c>
      <c r="J37" s="81">
        <f t="shared" si="0"/>
        <v>0</v>
      </c>
      <c r="K37" s="80">
        <v>23.2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128.99199999999999</v>
      </c>
      <c r="C38" s="100"/>
      <c r="D38" s="66"/>
      <c r="E38" s="67"/>
      <c r="F38" s="66"/>
      <c r="G38" s="66"/>
      <c r="H38" s="102"/>
      <c r="I38" s="79">
        <v>128.99</v>
      </c>
      <c r="J38" s="81">
        <f t="shared" si="0"/>
        <v>1.999999999981128E-3</v>
      </c>
      <c r="K38" s="80">
        <v>128.99</v>
      </c>
      <c r="L38" s="186">
        <f>K38-B38</f>
        <v>-1.999999999981128E-3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23.2</v>
      </c>
      <c r="C43" s="95"/>
      <c r="D43" s="94"/>
      <c r="E43" s="96"/>
      <c r="F43" s="94"/>
      <c r="G43" s="94"/>
      <c r="H43" s="98"/>
      <c r="I43" s="99">
        <v>23.2</v>
      </c>
      <c r="J43" s="185">
        <f t="shared" si="0"/>
        <v>0</v>
      </c>
      <c r="K43" s="99">
        <v>23.2</v>
      </c>
      <c r="L43" s="187">
        <f>K43-B43</f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128.99199999999999</v>
      </c>
      <c r="C44" s="95"/>
      <c r="D44" s="94"/>
      <c r="E44" s="96"/>
      <c r="F44" s="94"/>
      <c r="G44" s="94"/>
      <c r="H44" s="98"/>
      <c r="I44" s="99">
        <v>128.99</v>
      </c>
      <c r="J44" s="185">
        <f t="shared" si="0"/>
        <v>1.999999999981128E-3</v>
      </c>
      <c r="K44" s="99">
        <v>128.99</v>
      </c>
      <c r="L44" s="187">
        <f>K44-B44</f>
        <v>-1.999999999981128E-3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3431.3399999999997</v>
      </c>
      <c r="C49" s="116">
        <v>7.4999999999999997E-3</v>
      </c>
      <c r="D49" s="117">
        <f t="shared" si="17"/>
        <v>25.735049999999998</v>
      </c>
      <c r="E49" s="172">
        <v>0</v>
      </c>
      <c r="F49" s="117">
        <f t="shared" si="15"/>
        <v>0</v>
      </c>
      <c r="G49" s="117">
        <f t="shared" si="16"/>
        <v>3405.6049499999999</v>
      </c>
      <c r="H49" s="173">
        <f t="shared" si="19"/>
        <v>44748</v>
      </c>
      <c r="I49" s="176">
        <f>122.48+3308.85</f>
        <v>3431.33</v>
      </c>
      <c r="J49" s="81">
        <f t="shared" si="0"/>
        <v>9.9999999997635314E-3</v>
      </c>
      <c r="K49" s="80">
        <v>3405.6</v>
      </c>
      <c r="L49" s="186">
        <f t="shared" si="18"/>
        <v>4.9500000000080036E-3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212.65</v>
      </c>
      <c r="C50" s="116">
        <v>7.4999999999999997E-3</v>
      </c>
      <c r="D50" s="117">
        <f t="shared" si="17"/>
        <v>1.594875</v>
      </c>
      <c r="E50" s="172">
        <v>0</v>
      </c>
      <c r="F50" s="117">
        <f t="shared" si="15"/>
        <v>0</v>
      </c>
      <c r="G50" s="117">
        <f t="shared" si="16"/>
        <v>211.055125</v>
      </c>
      <c r="H50" s="173">
        <f t="shared" si="19"/>
        <v>44748</v>
      </c>
      <c r="I50" s="175"/>
      <c r="J50" s="81">
        <f t="shared" si="0"/>
        <v>212.65</v>
      </c>
      <c r="K50" s="80">
        <v>211.06</v>
      </c>
      <c r="L50" s="186">
        <f t="shared" si="18"/>
        <v>-4.8749999999984084E-3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430.24</v>
      </c>
      <c r="C51" s="116">
        <v>1.4999999999999999E-2</v>
      </c>
      <c r="D51" s="117">
        <f>+B51*C51</f>
        <v>6.4535999999999998</v>
      </c>
      <c r="E51" s="172">
        <v>0</v>
      </c>
      <c r="F51" s="117">
        <f>D51*E51</f>
        <v>0</v>
      </c>
      <c r="G51" s="117">
        <f t="shared" si="16"/>
        <v>423.78640000000001</v>
      </c>
      <c r="H51" s="173">
        <f t="shared" si="19"/>
        <v>44748</v>
      </c>
      <c r="I51" s="175">
        <v>642.89</v>
      </c>
      <c r="J51" s="81">
        <f t="shared" si="0"/>
        <v>-212.64999999999998</v>
      </c>
      <c r="K51" s="80">
        <v>423.79</v>
      </c>
      <c r="L51" s="186">
        <f t="shared" si="18"/>
        <v>-3.6000000000058208E-3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123.55999999999999</v>
      </c>
      <c r="C56" s="116">
        <v>2.5000000000000001E-2</v>
      </c>
      <c r="D56" s="117">
        <f t="shared" si="20"/>
        <v>3.089</v>
      </c>
      <c r="E56" s="172">
        <v>0.05</v>
      </c>
      <c r="F56" s="117">
        <f t="shared" si="21"/>
        <v>5.3258620689655176</v>
      </c>
      <c r="G56" s="117">
        <f t="shared" si="22"/>
        <v>115.14513793103447</v>
      </c>
      <c r="H56" s="173">
        <f t="shared" si="19"/>
        <v>44748</v>
      </c>
      <c r="I56" s="176">
        <f>104.16+19.4</f>
        <v>123.56</v>
      </c>
      <c r="J56" s="81">
        <f t="shared" si="0"/>
        <v>0</v>
      </c>
      <c r="K56" s="80">
        <v>115.15</v>
      </c>
      <c r="L56" s="186">
        <f t="shared" si="18"/>
        <v>-4.8620689655365368E-3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36.872524999999996</v>
      </c>
      <c r="E61" s="177"/>
      <c r="F61" s="57">
        <f>SUM(F46:F58)</f>
        <v>5.3258620689655176</v>
      </c>
      <c r="G61" s="57">
        <f>SUM(G46:G58)</f>
        <v>4155.5916129310344</v>
      </c>
      <c r="H61" s="173">
        <f t="shared" si="19"/>
        <v>44748</v>
      </c>
      <c r="I61" s="175"/>
      <c r="J61" s="81">
        <f t="shared" si="0"/>
        <v>0</v>
      </c>
      <c r="K61" s="80"/>
      <c r="L61" s="186">
        <f t="shared" si="18"/>
        <v>4155.5916129310344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8311.1832258620689</v>
      </c>
      <c r="H64" s="184"/>
      <c r="I64" s="175"/>
      <c r="J64" s="81">
        <f t="shared" si="0"/>
        <v>0</v>
      </c>
      <c r="K64" s="80"/>
      <c r="L64" s="186">
        <f t="shared" si="18"/>
        <v>8311.1832258620689</v>
      </c>
      <c r="M64" s="130"/>
      <c r="N64" s="87">
        <v>1</v>
      </c>
      <c r="O64" s="122" t="s">
        <v>193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7805.8019999999997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7704.67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193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7775.84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B69-B68</f>
        <v>71.170000000000073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235</v>
      </c>
      <c r="Q70" s="228">
        <v>1001</v>
      </c>
      <c r="R70" s="255">
        <v>122.49</v>
      </c>
      <c r="S70" s="228"/>
      <c r="T70" s="255">
        <v>19.399999999999999</v>
      </c>
      <c r="U70" s="189">
        <f t="shared" ref="U70:U74" si="34">((T70/U$10)*U$9)</f>
        <v>0.8362068965517242</v>
      </c>
      <c r="V70" s="189">
        <f t="shared" ref="V70:V74" si="35">R70*V$10</f>
        <v>0.91867499999999991</v>
      </c>
      <c r="W70" s="189">
        <f t="shared" ref="W70:W74" si="36">+S70*V$10</f>
        <v>0</v>
      </c>
      <c r="X70" s="189">
        <f t="shared" ref="X70:X74" si="37">+T70*X$10</f>
        <v>0.48499999999999999</v>
      </c>
      <c r="Y70" s="189">
        <f t="shared" ref="Y70:Z74" si="38">R70-V70</f>
        <v>121.571325</v>
      </c>
      <c r="Z70" s="189">
        <f t="shared" si="38"/>
        <v>0</v>
      </c>
      <c r="AA70" s="189">
        <f t="shared" ref="AA70:AA74" si="39">T70-U70-X70</f>
        <v>18.078793103448277</v>
      </c>
      <c r="AB70" s="87"/>
    </row>
    <row r="71" spans="1:30" ht="28.5" customHeight="1" thickBot="1" x14ac:dyDescent="0.3">
      <c r="A71" s="25" t="s">
        <v>57</v>
      </c>
      <c r="B71" s="70">
        <f>(B65-B69)-B72</f>
        <v>29.961999999999534</v>
      </c>
      <c r="C71" s="64"/>
      <c r="F71" s="87" t="s">
        <v>131</v>
      </c>
      <c r="G71" s="137"/>
      <c r="H71" s="87"/>
      <c r="I71" s="81"/>
      <c r="J71" s="81">
        <f>+J69-H69-H70-H71-H72-H73</f>
        <v>0</v>
      </c>
      <c r="N71" s="87">
        <v>2</v>
      </c>
      <c r="O71" s="122" t="s">
        <v>216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710</v>
      </c>
      <c r="Q72" s="228">
        <v>2001</v>
      </c>
      <c r="R72" s="255">
        <v>1067.31</v>
      </c>
      <c r="S72" s="228"/>
      <c r="T72" s="256">
        <v>73.489999999999995</v>
      </c>
      <c r="U72" s="189">
        <f t="shared" si="34"/>
        <v>3.1676724137931038</v>
      </c>
      <c r="V72" s="189">
        <f t="shared" si="35"/>
        <v>8.0048249999999985</v>
      </c>
      <c r="W72" s="189">
        <f t="shared" si="36"/>
        <v>0</v>
      </c>
      <c r="X72" s="189">
        <f t="shared" si="37"/>
        <v>1.83725</v>
      </c>
      <c r="Y72" s="189">
        <f t="shared" si="38"/>
        <v>1059.305175</v>
      </c>
      <c r="Z72" s="189">
        <f t="shared" si="38"/>
        <v>0</v>
      </c>
      <c r="AA72" s="189">
        <f t="shared" si="39"/>
        <v>68.485077586206899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703</v>
      </c>
      <c r="Q73" s="228">
        <v>2002</v>
      </c>
      <c r="R73" s="255">
        <v>1173.48</v>
      </c>
      <c r="S73" s="228"/>
      <c r="T73" s="228"/>
      <c r="U73" s="189">
        <f t="shared" si="34"/>
        <v>0</v>
      </c>
      <c r="V73" s="189">
        <f t="shared" si="35"/>
        <v>8.8010999999999999</v>
      </c>
      <c r="W73" s="189">
        <f t="shared" si="36"/>
        <v>0</v>
      </c>
      <c r="X73" s="189">
        <f t="shared" si="37"/>
        <v>0</v>
      </c>
      <c r="Y73" s="189">
        <f t="shared" si="38"/>
        <v>1164.6789000000001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709</v>
      </c>
      <c r="Q74" s="228">
        <v>2001</v>
      </c>
      <c r="R74" s="255">
        <v>1068.06</v>
      </c>
      <c r="S74" s="228"/>
      <c r="T74" s="256">
        <v>30.67</v>
      </c>
      <c r="U74" s="189">
        <f t="shared" si="34"/>
        <v>1.32198275862069</v>
      </c>
      <c r="V74" s="189">
        <f t="shared" si="35"/>
        <v>8.0104499999999987</v>
      </c>
      <c r="W74" s="189">
        <f t="shared" si="36"/>
        <v>0</v>
      </c>
      <c r="X74" s="189">
        <f t="shared" si="37"/>
        <v>0.76675000000000004</v>
      </c>
      <c r="Y74" s="189">
        <f t="shared" si="38"/>
        <v>1060.04955</v>
      </c>
      <c r="Z74" s="189">
        <f t="shared" si="38"/>
        <v>0</v>
      </c>
      <c r="AA74" s="189">
        <f t="shared" si="39"/>
        <v>28.581267241379308</v>
      </c>
      <c r="AB74" s="87"/>
    </row>
    <row r="75" spans="1:30" ht="15.75" x14ac:dyDescent="0.25">
      <c r="N75" s="302"/>
      <c r="O75" s="302"/>
      <c r="P75" s="303"/>
      <c r="Q75" s="303"/>
      <c r="R75" s="192">
        <f>SUM(R70:R74)</f>
        <v>3431.3399999999997</v>
      </c>
      <c r="S75" s="192"/>
      <c r="T75" s="192">
        <f>SUM(T70:T74)</f>
        <v>123.55999999999999</v>
      </c>
      <c r="U75" s="192">
        <f>SUM(U70:U74)</f>
        <v>5.3258620689655185</v>
      </c>
      <c r="V75" s="192">
        <f t="shared" ref="V75:AA75" si="41">SUM(V70:V74)</f>
        <v>25.735049999999998</v>
      </c>
      <c r="W75" s="192">
        <f t="shared" si="41"/>
        <v>0</v>
      </c>
      <c r="X75" s="192">
        <f t="shared" si="41"/>
        <v>3.089</v>
      </c>
      <c r="Y75" s="192">
        <f t="shared" si="41"/>
        <v>3405.6049499999999</v>
      </c>
      <c r="Z75" s="192">
        <f t="shared" si="41"/>
        <v>0</v>
      </c>
      <c r="AA75" s="193">
        <f t="shared" si="41"/>
        <v>115.14513793103448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7.67</v>
      </c>
      <c r="Q78" s="137">
        <v>31.11</v>
      </c>
      <c r="R78" s="82">
        <v>7.4999999999999997E-3</v>
      </c>
      <c r="S78" s="194">
        <f>+(P78+Q78)*R78</f>
        <v>0.29085</v>
      </c>
      <c r="T78" s="213">
        <f>+(P78+Q78)-S78</f>
        <v>38.489150000000002</v>
      </c>
      <c r="U78" s="211">
        <v>207.35</v>
      </c>
      <c r="V78" s="112"/>
      <c r="W78" s="113">
        <v>1.4999999999999999E-2</v>
      </c>
      <c r="X78" s="196">
        <f>+(U78+V78)*W78</f>
        <v>3.1102499999999997</v>
      </c>
      <c r="Y78" s="213">
        <f>+(U78+V78)-X78</f>
        <v>204.23974999999999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22.39</v>
      </c>
      <c r="Q79" s="137">
        <v>79.16</v>
      </c>
      <c r="R79" s="82">
        <v>7.4999999999999997E-3</v>
      </c>
      <c r="S79" s="194">
        <f t="shared" ref="S79:S97" si="43">+(P79+Q79)*R79</f>
        <v>0.761625</v>
      </c>
      <c r="T79" s="246">
        <f t="shared" ref="T79:T97" si="44">+(P79+Q79)-S79</f>
        <v>100.788375</v>
      </c>
      <c r="U79" s="211">
        <v>143.38</v>
      </c>
      <c r="V79" s="112"/>
      <c r="W79" s="113">
        <v>1.4999999999999999E-2</v>
      </c>
      <c r="X79" s="196">
        <f t="shared" ref="X79:X97" si="45">+(U79+V79)*W79</f>
        <v>2.1507000000000001</v>
      </c>
      <c r="Y79" s="246">
        <f t="shared" ref="Y79:Y97" si="46">+(U79+V79)-X79</f>
        <v>141.22929999999999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51.79</v>
      </c>
      <c r="Q80" s="87">
        <v>20.53</v>
      </c>
      <c r="R80" s="82">
        <v>7.4999999999999997E-3</v>
      </c>
      <c r="S80" s="194">
        <f t="shared" si="43"/>
        <v>0.54239999999999988</v>
      </c>
      <c r="T80" s="246">
        <f t="shared" si="44"/>
        <v>71.777599999999993</v>
      </c>
      <c r="U80" s="211">
        <v>79.510000000000005</v>
      </c>
      <c r="V80" s="112"/>
      <c r="W80" s="113">
        <v>1.4999999999999999E-2</v>
      </c>
      <c r="X80" s="196">
        <f t="shared" si="45"/>
        <v>1.19265</v>
      </c>
      <c r="Y80" s="246">
        <f t="shared" si="46"/>
        <v>78.317350000000005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81.849999999999994</v>
      </c>
      <c r="Q98" s="195">
        <f>SUM(Q78:Q97)</f>
        <v>130.80000000000001</v>
      </c>
      <c r="R98" s="111"/>
      <c r="S98" s="195">
        <f>SUM(S78:S97)</f>
        <v>1.594875</v>
      </c>
      <c r="T98" s="195">
        <f>SUM(T78:T97)</f>
        <v>211.05512499999998</v>
      </c>
      <c r="U98" s="114">
        <f>SUM(U78:U97)</f>
        <v>430.24</v>
      </c>
      <c r="V98" s="114">
        <f>SUM(V78:V97)</f>
        <v>0</v>
      </c>
      <c r="W98" s="112"/>
      <c r="X98" s="197">
        <f>SUM(X78:X97)</f>
        <v>6.4535999999999998</v>
      </c>
      <c r="Y98" s="197">
        <f>SUM(Y78:Y97)</f>
        <v>423.78639999999996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246.13</v>
      </c>
    </row>
    <row r="103" spans="14:30" x14ac:dyDescent="0.25">
      <c r="N103" s="85"/>
      <c r="Q103" s="215">
        <f>U79+Q79+P79</f>
        <v>244.93</v>
      </c>
    </row>
    <row r="104" spans="14:30" x14ac:dyDescent="0.25">
      <c r="N104" s="85"/>
      <c r="Q104" s="215">
        <f>P80+Q80+U80</f>
        <v>151.82999999999998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A5" zoomScale="90" zoomScaleNormal="90" workbookViewId="0">
      <selection activeCell="A18" sqref="A1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5.56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786</v>
      </c>
      <c r="C12" s="15"/>
      <c r="D12" s="56"/>
      <c r="E12" s="16"/>
      <c r="F12" s="56"/>
      <c r="G12" s="56"/>
      <c r="H12" s="17"/>
      <c r="I12" s="83">
        <v>786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389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389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2162.8399999999997</v>
      </c>
      <c r="C14" s="15"/>
      <c r="D14" s="56"/>
      <c r="E14" s="16"/>
      <c r="F14" s="56"/>
      <c r="G14" s="56"/>
      <c r="H14" s="17"/>
      <c r="I14" s="83"/>
      <c r="J14" s="81">
        <f t="shared" si="0"/>
        <v>2162.8399999999997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389</v>
      </c>
      <c r="C19" s="95"/>
      <c r="D19" s="94"/>
      <c r="E19" s="96"/>
      <c r="F19" s="94"/>
      <c r="G19" s="94"/>
      <c r="H19" s="98"/>
      <c r="I19" s="99"/>
      <c r="J19" s="185">
        <f>B19-I19</f>
        <v>389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2162.8399999999997</v>
      </c>
      <c r="C20" s="95"/>
      <c r="D20" s="94"/>
      <c r="E20" s="96"/>
      <c r="F20" s="94"/>
      <c r="G20" s="94"/>
      <c r="H20" s="98"/>
      <c r="I20" s="99">
        <v>2166.73</v>
      </c>
      <c r="J20" s="185">
        <f t="shared" si="0"/>
        <v>-3.8900000000003274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4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4057.18</v>
      </c>
      <c r="C49" s="116">
        <v>7.4999999999999997E-3</v>
      </c>
      <c r="D49" s="117">
        <f t="shared" si="18"/>
        <v>30.428849999999997</v>
      </c>
      <c r="E49" s="172">
        <v>0</v>
      </c>
      <c r="F49" s="117">
        <f t="shared" si="15"/>
        <v>0</v>
      </c>
      <c r="G49" s="117">
        <f t="shared" si="16"/>
        <v>4026.7511500000001</v>
      </c>
      <c r="H49" s="173">
        <f t="shared" si="19"/>
        <v>44749</v>
      </c>
      <c r="I49" s="176">
        <f>316.23+3740.85</f>
        <v>4057.08</v>
      </c>
      <c r="J49" s="81">
        <f t="shared" si="0"/>
        <v>9.9999999999909051E-2</v>
      </c>
      <c r="K49" s="80"/>
      <c r="L49" s="186">
        <f t="shared" si="17"/>
        <v>4026.7511500000001</v>
      </c>
      <c r="M49" s="107"/>
      <c r="N49" s="104">
        <v>7</v>
      </c>
      <c r="O49" s="167" t="s">
        <v>70</v>
      </c>
      <c r="P49" s="153"/>
      <c r="Q49" s="153"/>
      <c r="R49" s="154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137.88</v>
      </c>
      <c r="C50" s="116">
        <v>7.4999999999999997E-3</v>
      </c>
      <c r="D50" s="117">
        <f t="shared" si="18"/>
        <v>1.0341</v>
      </c>
      <c r="E50" s="172">
        <v>0</v>
      </c>
      <c r="F50" s="117">
        <f t="shared" si="15"/>
        <v>0</v>
      </c>
      <c r="G50" s="117">
        <f t="shared" si="16"/>
        <v>136.8459</v>
      </c>
      <c r="H50" s="173">
        <f t="shared" si="19"/>
        <v>44749</v>
      </c>
      <c r="I50" s="175"/>
      <c r="J50" s="81">
        <f t="shared" si="0"/>
        <v>137.88</v>
      </c>
      <c r="K50" s="80">
        <v>136.85</v>
      </c>
      <c r="L50" s="186">
        <f t="shared" si="17"/>
        <v>-4.0999999999939973E-3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697.04000000000008</v>
      </c>
      <c r="C51" s="116">
        <v>1.4999999999999999E-2</v>
      </c>
      <c r="D51" s="117">
        <f>+B51*C51</f>
        <v>10.4556</v>
      </c>
      <c r="E51" s="172">
        <v>0</v>
      </c>
      <c r="F51" s="117">
        <f>D51*E51</f>
        <v>0</v>
      </c>
      <c r="G51" s="117">
        <f t="shared" si="16"/>
        <v>686.58440000000007</v>
      </c>
      <c r="H51" s="173">
        <f t="shared" si="19"/>
        <v>44749</v>
      </c>
      <c r="I51" s="175">
        <v>834.92</v>
      </c>
      <c r="J51" s="81">
        <f t="shared" si="0"/>
        <v>-137.87999999999988</v>
      </c>
      <c r="K51" s="80">
        <v>686.58</v>
      </c>
      <c r="L51" s="186">
        <f t="shared" si="17"/>
        <v>4.400000000032378E-3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157.42000000000002</v>
      </c>
      <c r="C56" s="116">
        <v>2.5000000000000001E-2</v>
      </c>
      <c r="D56" s="117">
        <f t="shared" si="20"/>
        <v>3.9355000000000007</v>
      </c>
      <c r="E56" s="172">
        <v>0.05</v>
      </c>
      <c r="F56" s="117">
        <f t="shared" si="21"/>
        <v>6.7853448275862078</v>
      </c>
      <c r="G56" s="117">
        <f t="shared" si="22"/>
        <v>146.69915517241381</v>
      </c>
      <c r="H56" s="173">
        <f t="shared" si="19"/>
        <v>44749</v>
      </c>
      <c r="I56" s="176">
        <f>123.42+34</f>
        <v>157.42000000000002</v>
      </c>
      <c r="J56" s="81">
        <f t="shared" si="0"/>
        <v>0</v>
      </c>
      <c r="K56" s="80"/>
      <c r="L56" s="186">
        <f t="shared" si="17"/>
        <v>146.69915517241381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45.854049999999994</v>
      </c>
      <c r="E61" s="177"/>
      <c r="F61" s="57">
        <f>SUM(F46:F58)</f>
        <v>6.7853448275862078</v>
      </c>
      <c r="G61" s="57">
        <f>SUM(G46:G58)</f>
        <v>4996.8806051724141</v>
      </c>
      <c r="H61" s="173">
        <f t="shared" si="19"/>
        <v>44749</v>
      </c>
      <c r="I61" s="175"/>
      <c r="J61" s="81">
        <f t="shared" si="0"/>
        <v>0</v>
      </c>
      <c r="K61" s="80"/>
      <c r="L61" s="186">
        <f t="shared" si="17"/>
        <v>4996.8806051724141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9993.7612103448282</v>
      </c>
      <c r="H64" s="184"/>
      <c r="I64" s="175"/>
      <c r="J64" s="81">
        <f t="shared" si="0"/>
        <v>0</v>
      </c>
      <c r="K64" s="80"/>
      <c r="L64" s="186">
        <f t="shared" si="17"/>
        <v>9993.7612103448282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7998.36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7934.61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7990.63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-56.020000000000437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209</v>
      </c>
      <c r="Q70" s="228">
        <v>2001</v>
      </c>
      <c r="R70" s="256">
        <v>192.93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1.4469749999999999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191.483025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7.7299999999995634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236</v>
      </c>
      <c r="Q71" s="228">
        <v>2001</v>
      </c>
      <c r="R71" s="256">
        <f>58.47+64.93</f>
        <v>123.4</v>
      </c>
      <c r="S71" s="228"/>
      <c r="T71" s="256">
        <v>34</v>
      </c>
      <c r="U71" s="189">
        <f t="shared" si="34"/>
        <v>1.4655172413793105</v>
      </c>
      <c r="V71" s="189">
        <f t="shared" si="35"/>
        <v>0.92549999999999999</v>
      </c>
      <c r="W71" s="189">
        <f t="shared" si="36"/>
        <v>0</v>
      </c>
      <c r="X71" s="189">
        <f t="shared" si="37"/>
        <v>0.85000000000000009</v>
      </c>
      <c r="Y71" s="189">
        <f t="shared" si="38"/>
        <v>122.47450000000001</v>
      </c>
      <c r="Z71" s="189">
        <f t="shared" si="38"/>
        <v>0</v>
      </c>
      <c r="AA71" s="189">
        <f t="shared" si="39"/>
        <v>31.684482758620689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26</v>
      </c>
      <c r="Q72" s="228">
        <v>2003</v>
      </c>
      <c r="R72" s="247">
        <v>820.67</v>
      </c>
      <c r="S72" s="228"/>
      <c r="T72" s="228"/>
      <c r="U72" s="189">
        <f t="shared" si="34"/>
        <v>0</v>
      </c>
      <c r="V72" s="189">
        <f t="shared" si="35"/>
        <v>6.1550249999999993</v>
      </c>
      <c r="W72" s="189">
        <f t="shared" si="36"/>
        <v>0</v>
      </c>
      <c r="X72" s="189">
        <f t="shared" si="37"/>
        <v>0</v>
      </c>
      <c r="Y72" s="189">
        <f t="shared" si="38"/>
        <v>814.51497499999994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238</v>
      </c>
      <c r="Q73" s="228">
        <v>2002</v>
      </c>
      <c r="R73" s="228">
        <f>561.96+411.07</f>
        <v>973.03</v>
      </c>
      <c r="S73" s="228"/>
      <c r="T73" s="247">
        <v>24.59</v>
      </c>
      <c r="U73" s="189">
        <f t="shared" si="34"/>
        <v>1.0599137931034484</v>
      </c>
      <c r="V73" s="189">
        <f t="shared" si="35"/>
        <v>7.2977249999999998</v>
      </c>
      <c r="W73" s="189">
        <f t="shared" si="36"/>
        <v>0</v>
      </c>
      <c r="X73" s="189">
        <f t="shared" si="37"/>
        <v>0.61475000000000002</v>
      </c>
      <c r="Y73" s="189">
        <f t="shared" si="38"/>
        <v>965.73227499999996</v>
      </c>
      <c r="Z73" s="189">
        <f t="shared" si="38"/>
        <v>0</v>
      </c>
      <c r="AA73" s="189">
        <f t="shared" si="39"/>
        <v>22.915336206896551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237</v>
      </c>
      <c r="Q74" s="228">
        <v>2001</v>
      </c>
      <c r="R74" s="238">
        <f>937.7+1009.45</f>
        <v>1947.15</v>
      </c>
      <c r="S74" s="228"/>
      <c r="T74" s="247">
        <v>98.83</v>
      </c>
      <c r="U74" s="189">
        <f t="shared" si="34"/>
        <v>4.2599137931034488</v>
      </c>
      <c r="V74" s="189">
        <f t="shared" si="35"/>
        <v>14.603625000000001</v>
      </c>
      <c r="W74" s="189">
        <f t="shared" si="36"/>
        <v>0</v>
      </c>
      <c r="X74" s="189">
        <f t="shared" si="37"/>
        <v>2.4707500000000002</v>
      </c>
      <c r="Y74" s="189">
        <f t="shared" si="38"/>
        <v>1932.5463750000001</v>
      </c>
      <c r="Z74" s="189">
        <f t="shared" si="38"/>
        <v>0</v>
      </c>
      <c r="AA74" s="189">
        <f t="shared" si="39"/>
        <v>92.099336206896552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4057.18</v>
      </c>
      <c r="S75" s="192"/>
      <c r="T75" s="192">
        <f>SUM(T70:T74)</f>
        <v>157.42000000000002</v>
      </c>
      <c r="U75" s="192">
        <f>SUM(U70:U74)</f>
        <v>6.7853448275862078</v>
      </c>
      <c r="V75" s="192">
        <f t="shared" ref="V75:AA75" si="41">SUM(V70:V74)</f>
        <v>30.428850000000001</v>
      </c>
      <c r="W75" s="192">
        <f t="shared" si="41"/>
        <v>0</v>
      </c>
      <c r="X75" s="192">
        <f t="shared" si="41"/>
        <v>3.9355000000000002</v>
      </c>
      <c r="Y75" s="192">
        <f t="shared" si="41"/>
        <v>4026.7511500000001</v>
      </c>
      <c r="Z75" s="192">
        <f t="shared" si="41"/>
        <v>0</v>
      </c>
      <c r="AA75" s="193">
        <f t="shared" si="41"/>
        <v>146.69915517241378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26.8</v>
      </c>
      <c r="Q78" s="137">
        <v>2</v>
      </c>
      <c r="R78" s="82">
        <v>7.4999999999999997E-3</v>
      </c>
      <c r="S78" s="194">
        <f>+(P78+Q78)*R78</f>
        <v>0.216</v>
      </c>
      <c r="T78" s="213">
        <f>+(P78+Q78)-S78</f>
        <v>28.584</v>
      </c>
      <c r="U78" s="211">
        <v>183.86</v>
      </c>
      <c r="V78" s="112"/>
      <c r="W78" s="113">
        <v>1.4999999999999999E-2</v>
      </c>
      <c r="X78" s="196">
        <f>+(U78+V78)*W78</f>
        <v>2.7579000000000002</v>
      </c>
      <c r="Y78" s="246">
        <f>+(U78+V78)-X78</f>
        <v>181.10210000000001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10</v>
      </c>
      <c r="Q79" s="137"/>
      <c r="R79" s="82">
        <v>7.4999999999999997E-3</v>
      </c>
      <c r="S79" s="194">
        <f t="shared" ref="S79:S97" si="43">+(P79+Q79)*R79</f>
        <v>7.4999999999999997E-2</v>
      </c>
      <c r="T79" s="213">
        <f t="shared" ref="T79:T97" si="44">+(P79+Q79)-S79</f>
        <v>9.9250000000000007</v>
      </c>
      <c r="U79" s="211">
        <v>102.84</v>
      </c>
      <c r="V79" s="112"/>
      <c r="W79" s="113">
        <v>1.4999999999999999E-2</v>
      </c>
      <c r="X79" s="196">
        <f t="shared" ref="X79:X97" si="45">+(U79+V79)*W79</f>
        <v>1.5426</v>
      </c>
      <c r="Y79" s="246">
        <f t="shared" ref="Y79:Y97" si="46">+(U79+V79)-X79</f>
        <v>101.29740000000001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3.67</v>
      </c>
      <c r="Q80" s="137">
        <v>49.26</v>
      </c>
      <c r="R80" s="82">
        <v>7.4999999999999997E-3</v>
      </c>
      <c r="S80" s="194">
        <f t="shared" si="43"/>
        <v>0.39697499999999997</v>
      </c>
      <c r="T80" s="246">
        <f t="shared" si="44"/>
        <v>52.533025000000002</v>
      </c>
      <c r="U80" s="211">
        <v>149.49</v>
      </c>
      <c r="V80" s="112"/>
      <c r="W80" s="113">
        <v>1.4999999999999999E-2</v>
      </c>
      <c r="X80" s="196">
        <f t="shared" si="45"/>
        <v>2.2423500000000001</v>
      </c>
      <c r="Y80" s="213">
        <f t="shared" si="46"/>
        <v>147.24765000000002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24.81</v>
      </c>
      <c r="Q81" s="137">
        <v>21.34</v>
      </c>
      <c r="R81" s="82">
        <v>7.4999999999999997E-3</v>
      </c>
      <c r="S81" s="194">
        <f t="shared" si="43"/>
        <v>0.34612499999999996</v>
      </c>
      <c r="T81" s="246">
        <f t="shared" si="44"/>
        <v>45.803874999999998</v>
      </c>
      <c r="U81" s="211">
        <v>260.85000000000002</v>
      </c>
      <c r="V81" s="112"/>
      <c r="W81" s="113">
        <v>1.4999999999999999E-2</v>
      </c>
      <c r="X81" s="196">
        <f t="shared" si="45"/>
        <v>3.9127500000000004</v>
      </c>
      <c r="Y81" s="213">
        <f t="shared" si="46"/>
        <v>256.93725000000001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65.28</v>
      </c>
      <c r="Q98" s="195">
        <f>SUM(Q78:Q97)</f>
        <v>72.599999999999994</v>
      </c>
      <c r="R98" s="111"/>
      <c r="S98" s="195">
        <f>SUM(S78:S97)</f>
        <v>1.0341</v>
      </c>
      <c r="T98" s="195">
        <f>SUM(T78:T97)</f>
        <v>136.8459</v>
      </c>
      <c r="U98" s="114">
        <f>SUM(U78:U97)</f>
        <v>697.04000000000008</v>
      </c>
      <c r="V98" s="114">
        <f>SUM(V78:V97)</f>
        <v>0</v>
      </c>
      <c r="W98" s="112"/>
      <c r="X98" s="197">
        <f>SUM(X78:X97)</f>
        <v>10.4556</v>
      </c>
      <c r="Y98" s="197">
        <f>SUM(Y78:Y97)</f>
        <v>686.58439999999996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9" si="50">P78+Q78+U78</f>
        <v>212.66000000000003</v>
      </c>
    </row>
    <row r="104" spans="14:30" x14ac:dyDescent="0.25">
      <c r="N104" s="85"/>
      <c r="Q104" s="215">
        <f t="shared" si="50"/>
        <v>112.84</v>
      </c>
    </row>
    <row r="105" spans="14:30" x14ac:dyDescent="0.25">
      <c r="N105" s="85"/>
      <c r="Q105" s="215">
        <f t="shared" si="50"/>
        <v>202.42000000000002</v>
      </c>
    </row>
    <row r="106" spans="14:30" x14ac:dyDescent="0.25">
      <c r="N106" s="85"/>
      <c r="Q106" s="215">
        <f t="shared" si="50"/>
        <v>307</v>
      </c>
    </row>
    <row r="107" spans="14:30" x14ac:dyDescent="0.25">
      <c r="N107" s="85"/>
      <c r="Q107" s="212">
        <f t="shared" si="50"/>
        <v>0</v>
      </c>
    </row>
    <row r="108" spans="14:30" x14ac:dyDescent="0.25">
      <c r="N108" s="85"/>
      <c r="Q108" s="85">
        <f t="shared" si="50"/>
        <v>0</v>
      </c>
    </row>
    <row r="109" spans="14:30" x14ac:dyDescent="0.25">
      <c r="N109" s="85"/>
      <c r="Q109" s="85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5.57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1159.5</v>
      </c>
      <c r="C12" s="15"/>
      <c r="D12" s="56"/>
      <c r="E12" s="16"/>
      <c r="F12" s="56"/>
      <c r="G12" s="56"/>
      <c r="H12" s="17"/>
      <c r="I12" s="83">
        <v>1159.5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774.23</v>
      </c>
      <c r="C14" s="15"/>
      <c r="D14" s="56"/>
      <c r="E14" s="16"/>
      <c r="F14" s="56"/>
      <c r="G14" s="56"/>
      <c r="H14" s="17"/>
      <c r="I14" s="83"/>
      <c r="J14" s="81">
        <f t="shared" si="0"/>
        <v>774.23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243</v>
      </c>
      <c r="C15" s="15"/>
      <c r="D15" s="56"/>
      <c r="E15" s="16"/>
      <c r="F15" s="56"/>
      <c r="G15" s="56"/>
      <c r="H15" s="17"/>
      <c r="I15" s="83"/>
      <c r="J15" s="81">
        <f t="shared" si="0"/>
        <v>243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1351.08</v>
      </c>
      <c r="C16" s="15"/>
      <c r="D16" s="56"/>
      <c r="E16" s="16"/>
      <c r="F16" s="56"/>
      <c r="G16" s="56"/>
      <c r="H16" s="17"/>
      <c r="I16" s="83"/>
      <c r="J16" s="81">
        <f t="shared" si="0"/>
        <v>1351.08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382</v>
      </c>
      <c r="C19" s="95"/>
      <c r="D19" s="94"/>
      <c r="E19" s="96"/>
      <c r="F19" s="94"/>
      <c r="G19" s="94"/>
      <c r="H19" s="98"/>
      <c r="I19" s="99">
        <v>382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2125.31</v>
      </c>
      <c r="C20" s="95"/>
      <c r="D20" s="94"/>
      <c r="E20" s="96"/>
      <c r="F20" s="94"/>
      <c r="G20" s="94"/>
      <c r="H20" s="98"/>
      <c r="I20" s="99">
        <v>2127.7399999999998</v>
      </c>
      <c r="J20" s="185">
        <f t="shared" si="0"/>
        <v>-2.4299999999998363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2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4450.8600000000006</v>
      </c>
      <c r="C49" s="116">
        <v>7.4999999999999997E-3</v>
      </c>
      <c r="D49" s="117">
        <f t="shared" si="17"/>
        <v>33.381450000000001</v>
      </c>
      <c r="E49" s="172">
        <v>0</v>
      </c>
      <c r="F49" s="117">
        <f t="shared" si="15"/>
        <v>0</v>
      </c>
      <c r="G49" s="117">
        <f t="shared" si="16"/>
        <v>4417.4785500000007</v>
      </c>
      <c r="H49" s="173">
        <f t="shared" si="19"/>
        <v>44750</v>
      </c>
      <c r="I49" s="219">
        <f>590.62+3860.24</f>
        <v>4450.8599999999997</v>
      </c>
      <c r="J49" s="81">
        <f t="shared" si="0"/>
        <v>0</v>
      </c>
      <c r="K49" s="80">
        <v>4417.4799999999996</v>
      </c>
      <c r="L49" s="186">
        <f t="shared" si="18"/>
        <v>-1.4499999988402124E-3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241.68</v>
      </c>
      <c r="C50" s="116">
        <v>7.4999999999999997E-3</v>
      </c>
      <c r="D50" s="117">
        <f t="shared" si="17"/>
        <v>1.8126</v>
      </c>
      <c r="E50" s="172">
        <v>0</v>
      </c>
      <c r="F50" s="117">
        <f t="shared" si="15"/>
        <v>0</v>
      </c>
      <c r="G50" s="117">
        <f t="shared" si="16"/>
        <v>239.8674</v>
      </c>
      <c r="H50" s="173">
        <f t="shared" si="19"/>
        <v>44750</v>
      </c>
      <c r="I50" s="175"/>
      <c r="J50" s="81">
        <f t="shared" si="0"/>
        <v>241.68</v>
      </c>
      <c r="K50" s="80">
        <v>239.87</v>
      </c>
      <c r="L50" s="186">
        <f t="shared" si="18"/>
        <v>-2.6000000000010459E-3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972.21</v>
      </c>
      <c r="C51" s="116">
        <v>1.4999999999999999E-2</v>
      </c>
      <c r="D51" s="117">
        <f>+B51*C51</f>
        <v>14.58315</v>
      </c>
      <c r="E51" s="172">
        <v>0</v>
      </c>
      <c r="F51" s="117">
        <f>D51*E51</f>
        <v>0</v>
      </c>
      <c r="G51" s="117">
        <f t="shared" si="16"/>
        <v>957.62684999999999</v>
      </c>
      <c r="H51" s="173">
        <f t="shared" si="19"/>
        <v>44750</v>
      </c>
      <c r="I51" s="175">
        <v>1213.83</v>
      </c>
      <c r="J51" s="81">
        <f t="shared" si="0"/>
        <v>-241.61999999999989</v>
      </c>
      <c r="K51" s="80">
        <v>957.63</v>
      </c>
      <c r="L51" s="186">
        <f t="shared" si="18"/>
        <v>-3.1500000000050932E-3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194.56</v>
      </c>
      <c r="C56" s="116">
        <v>2.5000000000000001E-2</v>
      </c>
      <c r="D56" s="117">
        <f t="shared" si="20"/>
        <v>4.8640000000000008</v>
      </c>
      <c r="E56" s="172">
        <v>0.05</v>
      </c>
      <c r="F56" s="117">
        <f t="shared" si="21"/>
        <v>8.3862068965517249</v>
      </c>
      <c r="G56" s="117">
        <f t="shared" si="22"/>
        <v>181.30979310344827</v>
      </c>
      <c r="H56" s="173">
        <f t="shared" si="19"/>
        <v>44750</v>
      </c>
      <c r="I56" s="176">
        <v>194.56</v>
      </c>
      <c r="J56" s="81">
        <f t="shared" si="0"/>
        <v>0</v>
      </c>
      <c r="K56" s="80">
        <v>181.31</v>
      </c>
      <c r="L56" s="186">
        <f t="shared" si="18"/>
        <v>-2.0689655173100618E-4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/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54.641200000000012</v>
      </c>
      <c r="E61" s="177"/>
      <c r="F61" s="57">
        <f>SUM(F46:F58)</f>
        <v>8.3862068965517249</v>
      </c>
      <c r="G61" s="57">
        <f>SUM(G46:G58)</f>
        <v>5796.2825931034486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5796.2825931034486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11592.565186206897</v>
      </c>
      <c r="H64" s="184"/>
      <c r="I64" s="175"/>
      <c r="J64" s="81">
        <f t="shared" si="0"/>
        <v>0</v>
      </c>
      <c r="K64" s="80"/>
      <c r="L64" s="186">
        <f t="shared" si="18"/>
        <v>11592.565186206897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9144.1200000000008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9079.08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9132.99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-53.909999999999854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240</v>
      </c>
      <c r="Q70" s="228">
        <v>2001</v>
      </c>
      <c r="R70" s="255">
        <f>498.54+6.97</f>
        <v>505.51000000000005</v>
      </c>
      <c r="S70" s="228"/>
      <c r="T70" s="259">
        <v>12.79</v>
      </c>
      <c r="U70" s="189">
        <f t="shared" ref="U70:U74" si="34">((T70/U$10)*U$9)</f>
        <v>0.55129310344827587</v>
      </c>
      <c r="V70" s="189">
        <f t="shared" ref="V70:V74" si="35">R70*V$10</f>
        <v>3.7913250000000001</v>
      </c>
      <c r="W70" s="189">
        <f t="shared" ref="W70:W74" si="36">+S70*V$10</f>
        <v>0</v>
      </c>
      <c r="X70" s="189">
        <f t="shared" ref="X70:X74" si="37">+T70*X$10</f>
        <v>0.31974999999999998</v>
      </c>
      <c r="Y70" s="189">
        <f t="shared" ref="Y70:Z74" si="38">R70-V70</f>
        <v>501.71867500000008</v>
      </c>
      <c r="Z70" s="189">
        <f t="shared" si="38"/>
        <v>0</v>
      </c>
      <c r="AA70" s="189">
        <f t="shared" ref="AA70:AA74" si="39">T70-U70-X70</f>
        <v>11.918956896551723</v>
      </c>
      <c r="AB70" s="87"/>
    </row>
    <row r="71" spans="1:30" ht="28.5" customHeight="1" thickBot="1" x14ac:dyDescent="0.3">
      <c r="A71" s="25" t="s">
        <v>57</v>
      </c>
      <c r="B71" s="70">
        <f>(B65-B69)-B72</f>
        <v>11.130000000001019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239</v>
      </c>
      <c r="Q71" s="228">
        <v>1001</v>
      </c>
      <c r="R71" s="255">
        <v>85.11</v>
      </c>
      <c r="S71" s="228"/>
      <c r="T71" s="256">
        <v>181.77</v>
      </c>
      <c r="U71" s="189">
        <f t="shared" si="34"/>
        <v>7.8349137931034498</v>
      </c>
      <c r="V71" s="189">
        <f t="shared" si="35"/>
        <v>0.63832499999999992</v>
      </c>
      <c r="W71" s="189">
        <f t="shared" si="36"/>
        <v>0</v>
      </c>
      <c r="X71" s="189">
        <f t="shared" si="37"/>
        <v>4.5442500000000008</v>
      </c>
      <c r="Y71" s="189">
        <f t="shared" si="38"/>
        <v>84.471675000000005</v>
      </c>
      <c r="Z71" s="189">
        <f t="shared" si="38"/>
        <v>0</v>
      </c>
      <c r="AA71" s="189">
        <f t="shared" si="39"/>
        <v>169.39083620689655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241</v>
      </c>
      <c r="Q72" s="228">
        <v>2003</v>
      </c>
      <c r="R72" s="255">
        <f>99.87+273.83</f>
        <v>373.7</v>
      </c>
      <c r="S72" s="228"/>
      <c r="T72" s="222"/>
      <c r="U72" s="189">
        <f t="shared" si="34"/>
        <v>0</v>
      </c>
      <c r="V72" s="189">
        <f t="shared" si="35"/>
        <v>2.8027499999999996</v>
      </c>
      <c r="W72" s="189">
        <f t="shared" si="36"/>
        <v>0</v>
      </c>
      <c r="X72" s="189">
        <f t="shared" si="37"/>
        <v>0</v>
      </c>
      <c r="Y72" s="189">
        <f t="shared" si="38"/>
        <v>370.89724999999999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242</v>
      </c>
      <c r="Q73" s="228">
        <v>2002</v>
      </c>
      <c r="R73" s="255">
        <f>1619.82+1293.41</f>
        <v>2913.23</v>
      </c>
      <c r="S73" s="228"/>
      <c r="T73" s="228"/>
      <c r="U73" s="189">
        <f t="shared" si="34"/>
        <v>0</v>
      </c>
      <c r="V73" s="189">
        <f t="shared" si="35"/>
        <v>21.849225000000001</v>
      </c>
      <c r="W73" s="189">
        <f t="shared" si="36"/>
        <v>0</v>
      </c>
      <c r="X73" s="189">
        <f t="shared" si="37"/>
        <v>0</v>
      </c>
      <c r="Y73" s="189">
        <f t="shared" si="38"/>
        <v>2891.3807750000001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713</v>
      </c>
      <c r="Q74" s="228">
        <v>2001</v>
      </c>
      <c r="R74" s="255">
        <v>573.30999999999995</v>
      </c>
      <c r="S74" s="228"/>
      <c r="T74" s="228"/>
      <c r="U74" s="189">
        <f t="shared" si="34"/>
        <v>0</v>
      </c>
      <c r="V74" s="189">
        <f t="shared" si="35"/>
        <v>4.2998249999999993</v>
      </c>
      <c r="W74" s="189">
        <f t="shared" si="36"/>
        <v>0</v>
      </c>
      <c r="X74" s="189">
        <f t="shared" si="37"/>
        <v>0</v>
      </c>
      <c r="Y74" s="189">
        <f t="shared" si="38"/>
        <v>569.01017499999989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4450.8600000000006</v>
      </c>
      <c r="S75" s="192"/>
      <c r="T75" s="192">
        <f>SUM(T70:T74)</f>
        <v>194.56</v>
      </c>
      <c r="U75" s="192">
        <f>SUM(U70:U74)</f>
        <v>8.3862068965517249</v>
      </c>
      <c r="V75" s="192">
        <f t="shared" ref="V75:AA75" si="41">SUM(V70:V74)</f>
        <v>33.381450000000001</v>
      </c>
      <c r="W75" s="192">
        <f t="shared" si="41"/>
        <v>0</v>
      </c>
      <c r="X75" s="192">
        <f t="shared" si="41"/>
        <v>4.8640000000000008</v>
      </c>
      <c r="Y75" s="192">
        <f t="shared" si="41"/>
        <v>4417.4785499999998</v>
      </c>
      <c r="Z75" s="192">
        <f t="shared" si="41"/>
        <v>0</v>
      </c>
      <c r="AA75" s="193">
        <f t="shared" si="41"/>
        <v>181.30979310344827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239.87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239.87</v>
      </c>
      <c r="N81" s="87">
        <v>4</v>
      </c>
      <c r="O81" s="87" t="s">
        <v>112</v>
      </c>
      <c r="P81" s="137">
        <v>74.180000000000007</v>
      </c>
      <c r="Q81" s="137"/>
      <c r="R81" s="82">
        <v>7.4999999999999997E-3</v>
      </c>
      <c r="S81" s="194">
        <f t="shared" si="43"/>
        <v>0.55635000000000001</v>
      </c>
      <c r="T81" s="237">
        <f t="shared" si="44"/>
        <v>73.623650000000012</v>
      </c>
      <c r="U81" s="211">
        <v>316.93</v>
      </c>
      <c r="V81" s="112"/>
      <c r="W81" s="113">
        <v>1.4999999999999999E-2</v>
      </c>
      <c r="X81" s="196">
        <f t="shared" si="45"/>
        <v>4.7539499999999997</v>
      </c>
      <c r="Y81" s="237">
        <f t="shared" si="46"/>
        <v>312.17605000000003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90.06</v>
      </c>
      <c r="Q82" s="137"/>
      <c r="R82" s="82">
        <v>7.4999999999999997E-3</v>
      </c>
      <c r="S82" s="194">
        <f t="shared" si="43"/>
        <v>0.67544999999999999</v>
      </c>
      <c r="T82" s="246">
        <f t="shared" si="44"/>
        <v>89.384550000000004</v>
      </c>
      <c r="U82" s="211">
        <v>201.37</v>
      </c>
      <c r="V82" s="112"/>
      <c r="W82" s="113">
        <v>1.4999999999999999E-2</v>
      </c>
      <c r="X82" s="196">
        <f t="shared" si="45"/>
        <v>3.0205500000000001</v>
      </c>
      <c r="Y82" s="246">
        <f t="shared" si="46"/>
        <v>198.34944999999999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34.51</v>
      </c>
      <c r="Q83" s="87">
        <v>0.52</v>
      </c>
      <c r="R83" s="82">
        <v>7.4999999999999997E-3</v>
      </c>
      <c r="S83" s="194">
        <f t="shared" si="43"/>
        <v>0.26272499999999999</v>
      </c>
      <c r="T83" s="237">
        <f t="shared" si="44"/>
        <v>34.767274999999998</v>
      </c>
      <c r="U83" s="211">
        <v>115.46</v>
      </c>
      <c r="V83" s="112"/>
      <c r="W83" s="113">
        <v>1.4999999999999999E-2</v>
      </c>
      <c r="X83" s="196">
        <f t="shared" si="45"/>
        <v>1.7318999999999998</v>
      </c>
      <c r="Y83" s="237">
        <f t="shared" si="46"/>
        <v>113.7281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>
        <v>37.9</v>
      </c>
      <c r="Q84" s="87">
        <v>4.51</v>
      </c>
      <c r="R84" s="82">
        <v>7.4999999999999997E-3</v>
      </c>
      <c r="S84" s="194">
        <f t="shared" si="43"/>
        <v>0.31807499999999994</v>
      </c>
      <c r="T84" s="246">
        <f t="shared" si="44"/>
        <v>42.091924999999996</v>
      </c>
      <c r="U84" s="112">
        <v>338.45</v>
      </c>
      <c r="V84" s="112"/>
      <c r="W84" s="113">
        <v>1.4999999999999999E-2</v>
      </c>
      <c r="X84" s="196">
        <f t="shared" si="45"/>
        <v>5.0767499999999997</v>
      </c>
      <c r="Y84" s="246">
        <f t="shared" si="46"/>
        <v>333.37324999999998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236.65</v>
      </c>
      <c r="Q98" s="195">
        <f>SUM(Q78:Q97)</f>
        <v>5.0299999999999994</v>
      </c>
      <c r="R98" s="111"/>
      <c r="S98" s="195">
        <f>SUM(S78:S97)</f>
        <v>1.8125999999999998</v>
      </c>
      <c r="T98" s="195">
        <f>SUM(T78:T97)</f>
        <v>239.86740000000003</v>
      </c>
      <c r="U98" s="114">
        <f>SUM(U78:U97)</f>
        <v>972.21</v>
      </c>
      <c r="V98" s="114">
        <f>SUM(V78:V97)</f>
        <v>0</v>
      </c>
      <c r="W98" s="112"/>
      <c r="X98" s="197">
        <f>SUM(X78:X97)</f>
        <v>14.58315</v>
      </c>
      <c r="Y98" s="197">
        <f>SUM(Y78:Y97)</f>
        <v>957.62684999999999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0</v>
      </c>
    </row>
    <row r="102" spans="14:30" x14ac:dyDescent="0.25">
      <c r="N102" s="85"/>
      <c r="Q102" s="212">
        <f>P79+U79+Q79</f>
        <v>0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5">
        <f>P81+Q81+U81</f>
        <v>391.11</v>
      </c>
    </row>
    <row r="105" spans="14:30" x14ac:dyDescent="0.25">
      <c r="N105" s="85"/>
      <c r="Q105" s="212">
        <f>P82+Q82+U82</f>
        <v>291.43</v>
      </c>
    </row>
    <row r="106" spans="14:30" x14ac:dyDescent="0.25">
      <c r="N106" s="85"/>
      <c r="Q106" s="212">
        <f>P83+U83</f>
        <v>149.97</v>
      </c>
    </row>
    <row r="107" spans="14:30" x14ac:dyDescent="0.25">
      <c r="N107" s="85"/>
      <c r="Q107" s="85">
        <f>P84+Q84+U84</f>
        <v>380.86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5.57</v>
      </c>
      <c r="C8" s="85" t="s">
        <v>94</v>
      </c>
      <c r="D8" s="108"/>
    </row>
    <row r="9" spans="1:28" x14ac:dyDescent="0.25">
      <c r="A9" s="7" t="s">
        <v>78</v>
      </c>
      <c r="B9" s="108">
        <v>5.61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480.5</v>
      </c>
      <c r="C12" s="15"/>
      <c r="D12" s="56"/>
      <c r="E12" s="16"/>
      <c r="F12" s="56"/>
      <c r="G12" s="56"/>
      <c r="H12" s="17"/>
      <c r="I12" s="83">
        <v>480.5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206</v>
      </c>
      <c r="C13" s="15"/>
      <c r="D13" s="56"/>
      <c r="E13" s="16"/>
      <c r="F13" s="56"/>
      <c r="G13" s="56"/>
      <c r="H13" s="17"/>
      <c r="I13" s="83">
        <v>206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1147.42</v>
      </c>
      <c r="C14" s="15"/>
      <c r="D14" s="56"/>
      <c r="E14" s="16"/>
      <c r="F14" s="56"/>
      <c r="G14" s="56"/>
      <c r="H14" s="17"/>
      <c r="I14" s="83"/>
      <c r="J14" s="81">
        <f t="shared" si="0"/>
        <v>1147.42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232</v>
      </c>
      <c r="C15" s="15"/>
      <c r="D15" s="56"/>
      <c r="E15" s="16"/>
      <c r="F15" s="56"/>
      <c r="G15" s="56"/>
      <c r="H15" s="17"/>
      <c r="I15" s="83">
        <v>232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1301.52</v>
      </c>
      <c r="C16" s="15"/>
      <c r="D16" s="56"/>
      <c r="E16" s="16"/>
      <c r="F16" s="56"/>
      <c r="G16" s="56"/>
      <c r="H16" s="17"/>
      <c r="I16" s="83"/>
      <c r="J16" s="81">
        <f t="shared" si="0"/>
        <v>1301.52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438</v>
      </c>
      <c r="C19" s="95"/>
      <c r="D19" s="94"/>
      <c r="E19" s="96"/>
      <c r="F19" s="94"/>
      <c r="G19" s="94"/>
      <c r="H19" s="98"/>
      <c r="I19" s="99">
        <v>438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2448.94</v>
      </c>
      <c r="C20" s="95"/>
      <c r="D20" s="94"/>
      <c r="E20" s="96"/>
      <c r="F20" s="94"/>
      <c r="G20" s="94"/>
      <c r="H20" s="98"/>
      <c r="I20" s="99">
        <v>2457.1799999999998</v>
      </c>
      <c r="J20" s="185">
        <f t="shared" si="0"/>
        <v>-8.2399999999997817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29.11</v>
      </c>
      <c r="C37" s="100"/>
      <c r="D37" s="66"/>
      <c r="E37" s="67"/>
      <c r="F37" s="66"/>
      <c r="G37" s="66"/>
      <c r="H37" s="102"/>
      <c r="I37" s="79">
        <v>29.11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162.14270000000002</v>
      </c>
      <c r="C38" s="100"/>
      <c r="D38" s="66"/>
      <c r="E38" s="67"/>
      <c r="F38" s="66"/>
      <c r="G38" s="66"/>
      <c r="H38" s="102"/>
      <c r="I38" s="79">
        <v>162.13999999999999</v>
      </c>
      <c r="J38" s="81">
        <f t="shared" si="0"/>
        <v>2.7000000000327873E-3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29.11</v>
      </c>
      <c r="C43" s="95"/>
      <c r="D43" s="94"/>
      <c r="E43" s="96"/>
      <c r="F43" s="94"/>
      <c r="G43" s="94"/>
      <c r="H43" s="98"/>
      <c r="I43" s="99">
        <v>29.11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162.14270000000002</v>
      </c>
      <c r="C44" s="95"/>
      <c r="D44" s="94"/>
      <c r="E44" s="96"/>
      <c r="F44" s="94"/>
      <c r="G44" s="94"/>
      <c r="H44" s="98"/>
      <c r="I44" s="99">
        <v>162.13999999999999</v>
      </c>
      <c r="J44" s="185">
        <f t="shared" si="0"/>
        <v>2.7000000000327873E-3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58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5772.0300000000007</v>
      </c>
      <c r="C49" s="116">
        <v>7.4999999999999997E-3</v>
      </c>
      <c r="D49" s="117">
        <f t="shared" si="17"/>
        <v>43.290225000000007</v>
      </c>
      <c r="E49" s="172">
        <v>0</v>
      </c>
      <c r="F49" s="117">
        <f t="shared" si="15"/>
        <v>0</v>
      </c>
      <c r="G49" s="117">
        <f t="shared" si="16"/>
        <v>5728.7397750000009</v>
      </c>
      <c r="H49" s="173">
        <f t="shared" si="19"/>
        <v>44751</v>
      </c>
      <c r="I49" s="176">
        <f>2013.92+3758.11</f>
        <v>5772.0300000000007</v>
      </c>
      <c r="J49" s="81">
        <f t="shared" si="0"/>
        <v>0</v>
      </c>
      <c r="K49" s="80">
        <v>5728.74</v>
      </c>
      <c r="L49" s="186">
        <f t="shared" si="18"/>
        <v>-2.2499999886349542E-4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518.03</v>
      </c>
      <c r="C50" s="116">
        <v>7.4999999999999997E-3</v>
      </c>
      <c r="D50" s="117">
        <f t="shared" si="17"/>
        <v>3.8852249999999997</v>
      </c>
      <c r="E50" s="172">
        <v>0</v>
      </c>
      <c r="F50" s="117">
        <f t="shared" si="15"/>
        <v>0</v>
      </c>
      <c r="G50" s="117">
        <f t="shared" si="16"/>
        <v>514.14477499999998</v>
      </c>
      <c r="H50" s="173">
        <f t="shared" si="19"/>
        <v>44751</v>
      </c>
      <c r="I50" s="175"/>
      <c r="J50" s="81">
        <f t="shared" si="0"/>
        <v>518.03</v>
      </c>
      <c r="K50" s="80">
        <v>514.14</v>
      </c>
      <c r="L50" s="186">
        <f t="shared" si="18"/>
        <v>4.7749999999950887E-3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572.02</v>
      </c>
      <c r="C51" s="116">
        <v>1.4999999999999999E-2</v>
      </c>
      <c r="D51" s="117">
        <f>+B51*C51</f>
        <v>8.5802999999999994</v>
      </c>
      <c r="E51" s="172">
        <v>0</v>
      </c>
      <c r="F51" s="117">
        <f>D51*E51</f>
        <v>0</v>
      </c>
      <c r="G51" s="117">
        <f t="shared" si="16"/>
        <v>563.43970000000002</v>
      </c>
      <c r="H51" s="173">
        <f t="shared" si="19"/>
        <v>44751</v>
      </c>
      <c r="I51" s="175">
        <v>1089.99</v>
      </c>
      <c r="J51" s="81">
        <f t="shared" si="0"/>
        <v>-517.97</v>
      </c>
      <c r="K51" s="80">
        <v>563.44000000000005</v>
      </c>
      <c r="L51" s="186">
        <f t="shared" si="18"/>
        <v>-3.0000000003838068E-4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197.48000000000002</v>
      </c>
      <c r="C56" s="116">
        <v>2.5000000000000001E-2</v>
      </c>
      <c r="D56" s="117">
        <f t="shared" si="20"/>
        <v>4.9370000000000012</v>
      </c>
      <c r="E56" s="172">
        <v>0.05</v>
      </c>
      <c r="F56" s="117">
        <f t="shared" si="21"/>
        <v>8.5120689655172423</v>
      </c>
      <c r="G56" s="117">
        <f t="shared" si="22"/>
        <v>184.03093103448276</v>
      </c>
      <c r="H56" s="173">
        <f t="shared" si="19"/>
        <v>44751</v>
      </c>
      <c r="I56" s="176">
        <v>197.48</v>
      </c>
      <c r="J56" s="81">
        <f t="shared" si="0"/>
        <v>0</v>
      </c>
      <c r="K56" s="80"/>
      <c r="L56" s="186">
        <f t="shared" si="18"/>
        <v>184.03093103448276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60.692750000000004</v>
      </c>
      <c r="E61" s="177"/>
      <c r="F61" s="57">
        <f>SUM(F46:F58)</f>
        <v>8.5120689655172423</v>
      </c>
      <c r="G61" s="57">
        <f>SUM(G46:G58)</f>
        <v>6990.3551810344834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6990.3551810344834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13980.710362068967</v>
      </c>
      <c r="H64" s="184"/>
      <c r="I64" s="175"/>
      <c r="J64" s="81">
        <f t="shared" si="0"/>
        <v>0</v>
      </c>
      <c r="K64" s="80"/>
      <c r="L64" s="186">
        <f t="shared" si="18"/>
        <v>13980.710362068967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10151.142700000002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10076.49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10143.459999999999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-66.969999999999345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243</v>
      </c>
      <c r="Q70" s="228">
        <v>1001</v>
      </c>
      <c r="R70" s="255">
        <f>664.72+1333.97</f>
        <v>1998.69</v>
      </c>
      <c r="S70" s="228"/>
      <c r="T70" s="228">
        <f>45.68+151.8</f>
        <v>197.48000000000002</v>
      </c>
      <c r="U70" s="189">
        <f t="shared" ref="U70:U74" si="34">((T70/U$10)*U$9)</f>
        <v>8.5120689655172423</v>
      </c>
      <c r="V70" s="189">
        <f t="shared" ref="V70:V74" si="35">R70*V$10</f>
        <v>14.990175000000001</v>
      </c>
      <c r="W70" s="189">
        <f t="shared" ref="W70:W74" si="36">+S70*V$10</f>
        <v>0</v>
      </c>
      <c r="X70" s="189">
        <f t="shared" ref="X70:X74" si="37">+T70*X$10</f>
        <v>4.9370000000000012</v>
      </c>
      <c r="Y70" s="189">
        <f t="shared" ref="Y70:Z74" si="38">R70-V70</f>
        <v>1983.6998250000001</v>
      </c>
      <c r="Z70" s="189">
        <f t="shared" si="38"/>
        <v>0</v>
      </c>
      <c r="AA70" s="189">
        <f t="shared" ref="AA70:AA74" si="39">T70-U70-X70</f>
        <v>184.03093103448276</v>
      </c>
      <c r="AB70" s="87"/>
    </row>
    <row r="71" spans="1:30" ht="28.5" customHeight="1" thickBot="1" x14ac:dyDescent="0.3">
      <c r="A71" s="25" t="s">
        <v>57</v>
      </c>
      <c r="B71" s="70">
        <f>(B65-B69)-B72</f>
        <v>7.6827000000030239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230</v>
      </c>
      <c r="Q71" s="228">
        <v>2001</v>
      </c>
      <c r="R71" s="255">
        <v>15.23</v>
      </c>
      <c r="S71" s="228"/>
      <c r="T71" s="222"/>
      <c r="U71" s="189">
        <f t="shared" si="34"/>
        <v>0</v>
      </c>
      <c r="V71" s="189">
        <f t="shared" si="35"/>
        <v>0.11422499999999999</v>
      </c>
      <c r="W71" s="189">
        <f t="shared" si="36"/>
        <v>0</v>
      </c>
      <c r="X71" s="189">
        <f t="shared" si="37"/>
        <v>0</v>
      </c>
      <c r="Y71" s="189">
        <f t="shared" si="38"/>
        <v>15.115775000000001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28</v>
      </c>
      <c r="Q72" s="228">
        <v>2003</v>
      </c>
      <c r="R72" s="255">
        <v>188.01</v>
      </c>
      <c r="S72" s="228"/>
      <c r="T72" s="228"/>
      <c r="U72" s="189">
        <f t="shared" si="34"/>
        <v>0</v>
      </c>
      <c r="V72" s="189">
        <f t="shared" si="35"/>
        <v>1.410075</v>
      </c>
      <c r="W72" s="189">
        <f t="shared" si="36"/>
        <v>0</v>
      </c>
      <c r="X72" s="189">
        <f t="shared" si="37"/>
        <v>0</v>
      </c>
      <c r="Y72" s="189">
        <f t="shared" si="38"/>
        <v>186.59992499999998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245</v>
      </c>
      <c r="Q73" s="228">
        <v>2002</v>
      </c>
      <c r="R73" s="255">
        <f>1245.71+934.17</f>
        <v>2179.88</v>
      </c>
      <c r="S73" s="228"/>
      <c r="T73" s="228"/>
      <c r="U73" s="189">
        <f t="shared" si="34"/>
        <v>0</v>
      </c>
      <c r="V73" s="189">
        <f t="shared" si="35"/>
        <v>16.3491</v>
      </c>
      <c r="W73" s="189">
        <f t="shared" si="36"/>
        <v>0</v>
      </c>
      <c r="X73" s="189">
        <f t="shared" si="37"/>
        <v>0</v>
      </c>
      <c r="Y73" s="189">
        <f t="shared" si="38"/>
        <v>2163.5309000000002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244</v>
      </c>
      <c r="Q74" s="228">
        <v>2002</v>
      </c>
      <c r="R74" s="255">
        <f>432.51+957.71</f>
        <v>1390.22</v>
      </c>
      <c r="S74" s="228"/>
      <c r="T74" s="228"/>
      <c r="U74" s="189">
        <f t="shared" si="34"/>
        <v>0</v>
      </c>
      <c r="V74" s="189">
        <f t="shared" si="35"/>
        <v>10.42665</v>
      </c>
      <c r="W74" s="189">
        <f t="shared" si="36"/>
        <v>0</v>
      </c>
      <c r="X74" s="189">
        <f t="shared" si="37"/>
        <v>0</v>
      </c>
      <c r="Y74" s="189">
        <f t="shared" si="38"/>
        <v>1379.7933499999999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5772.0300000000007</v>
      </c>
      <c r="S75" s="192"/>
      <c r="T75" s="192">
        <f>SUM(T70:T74)</f>
        <v>197.48000000000002</v>
      </c>
      <c r="U75" s="192">
        <f>SUM(U70:U74)</f>
        <v>8.5120689655172423</v>
      </c>
      <c r="V75" s="192">
        <f t="shared" ref="V75:AA75" si="41">SUM(V70:V74)</f>
        <v>43.290225</v>
      </c>
      <c r="W75" s="192">
        <f t="shared" si="41"/>
        <v>0</v>
      </c>
      <c r="X75" s="192">
        <f t="shared" si="41"/>
        <v>4.9370000000000012</v>
      </c>
      <c r="Y75" s="192">
        <f t="shared" si="41"/>
        <v>5728.739775</v>
      </c>
      <c r="Z75" s="192">
        <f t="shared" si="41"/>
        <v>0</v>
      </c>
      <c r="AA75" s="193">
        <f t="shared" si="41"/>
        <v>184.03093103448276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104.37</v>
      </c>
      <c r="Q78" s="137"/>
      <c r="R78" s="82">
        <v>7.4999999999999997E-3</v>
      </c>
      <c r="S78" s="194">
        <f>+(P78+Q78)*R78</f>
        <v>0.782775</v>
      </c>
      <c r="T78" s="246">
        <f>+(P78+Q78)-S78</f>
        <v>103.587225</v>
      </c>
      <c r="U78" s="211">
        <v>118.07</v>
      </c>
      <c r="V78" s="112"/>
      <c r="W78" s="113">
        <v>1.4999999999999999E-2</v>
      </c>
      <c r="X78" s="196">
        <f>+(U78+V78)*W78</f>
        <v>1.7710499999999998</v>
      </c>
      <c r="Y78" s="246">
        <f>+(U78+V78)-X78</f>
        <v>116.29894999999999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514.14</v>
      </c>
      <c r="N79" s="87">
        <v>2</v>
      </c>
      <c r="O79" s="87" t="s">
        <v>112</v>
      </c>
      <c r="P79" s="137">
        <v>28.11</v>
      </c>
      <c r="Q79" s="137">
        <v>79.63</v>
      </c>
      <c r="R79" s="82">
        <v>7.4999999999999997E-3</v>
      </c>
      <c r="S79" s="194">
        <f t="shared" ref="S79:S97" si="43">+(P79+Q79)*R79</f>
        <v>0.80804999999999993</v>
      </c>
      <c r="T79" s="246">
        <f t="shared" ref="T79:T97" si="44">+(P79+Q79)-S79</f>
        <v>106.93195</v>
      </c>
      <c r="U79" s="211">
        <v>144.99</v>
      </c>
      <c r="V79" s="112"/>
      <c r="W79" s="113">
        <v>1.4999999999999999E-2</v>
      </c>
      <c r="X79" s="196">
        <f t="shared" ref="X79:X97" si="45">+(U79+V79)*W79</f>
        <v>2.1748500000000002</v>
      </c>
      <c r="Y79" s="246">
        <f t="shared" ref="Y79:Y97" si="46">+(U79+V79)-X79</f>
        <v>142.81515000000002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55</v>
      </c>
      <c r="Q80" s="137">
        <v>40.44</v>
      </c>
      <c r="R80" s="82">
        <v>7.4999999999999997E-3</v>
      </c>
      <c r="S80" s="194">
        <f t="shared" si="43"/>
        <v>0.71579999999999999</v>
      </c>
      <c r="T80" s="213">
        <f t="shared" si="44"/>
        <v>94.724199999999996</v>
      </c>
      <c r="U80" s="211">
        <v>191.07</v>
      </c>
      <c r="V80" s="112"/>
      <c r="W80" s="113">
        <v>1.4999999999999999E-2</v>
      </c>
      <c r="X80" s="196">
        <f t="shared" si="45"/>
        <v>2.86605</v>
      </c>
      <c r="Y80" s="213">
        <f t="shared" si="46"/>
        <v>188.20394999999999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514.14</v>
      </c>
      <c r="N81" s="87">
        <v>4</v>
      </c>
      <c r="O81" s="87" t="s">
        <v>112</v>
      </c>
      <c r="P81" s="137">
        <v>165.04</v>
      </c>
      <c r="Q81" s="137">
        <v>45.44</v>
      </c>
      <c r="R81" s="82">
        <v>7.4999999999999997E-3</v>
      </c>
      <c r="S81" s="194">
        <f t="shared" si="43"/>
        <v>1.5785999999999998</v>
      </c>
      <c r="T81" s="213">
        <f t="shared" si="44"/>
        <v>208.9014</v>
      </c>
      <c r="U81" s="211">
        <v>117.89</v>
      </c>
      <c r="V81" s="112"/>
      <c r="W81" s="113">
        <v>1.4999999999999999E-2</v>
      </c>
      <c r="X81" s="196">
        <f t="shared" si="45"/>
        <v>1.7683499999999999</v>
      </c>
      <c r="Y81" s="213">
        <f t="shared" si="46"/>
        <v>116.12165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352.52</v>
      </c>
      <c r="Q98" s="195">
        <f>SUM(Q78:Q97)</f>
        <v>165.51</v>
      </c>
      <c r="R98" s="111"/>
      <c r="S98" s="195">
        <f>SUM(S78:S97)</f>
        <v>3.8852249999999997</v>
      </c>
      <c r="T98" s="195">
        <f>SUM(T78:T97)</f>
        <v>514.14477499999998</v>
      </c>
      <c r="U98" s="114">
        <f>SUM(U78:U97)</f>
        <v>572.02</v>
      </c>
      <c r="V98" s="114">
        <f>SUM(V78:V97)</f>
        <v>0</v>
      </c>
      <c r="W98" s="112"/>
      <c r="X98" s="197">
        <f>SUM(X78:X97)</f>
        <v>8.5802999999999994</v>
      </c>
      <c r="Y98" s="197">
        <f>SUM(Y78:Y97)</f>
        <v>563.43970000000002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222.44</v>
      </c>
    </row>
    <row r="102" spans="14:30" x14ac:dyDescent="0.25">
      <c r="N102" s="85"/>
      <c r="P102" s="215">
        <f t="shared" si="50"/>
        <v>252.73000000000002</v>
      </c>
    </row>
    <row r="103" spans="14:30" x14ac:dyDescent="0.25">
      <c r="N103" s="85"/>
      <c r="P103" s="215">
        <f t="shared" si="50"/>
        <v>286.51</v>
      </c>
    </row>
    <row r="104" spans="14:30" x14ac:dyDescent="0.25">
      <c r="N104" s="85"/>
      <c r="P104" s="215">
        <f t="shared" si="50"/>
        <v>328.37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0" zoomScale="90" zoomScaleNormal="90" workbookViewId="0">
      <selection activeCell="A16" sqref="A1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605.5</v>
      </c>
      <c r="C12" s="15"/>
      <c r="D12" s="56"/>
      <c r="E12" s="16"/>
      <c r="F12" s="56"/>
      <c r="G12" s="56"/>
      <c r="H12" s="17"/>
      <c r="I12" s="83">
        <v>605.5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665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3730.65</v>
      </c>
      <c r="C14" s="15"/>
      <c r="D14" s="56"/>
      <c r="E14" s="16"/>
      <c r="F14" s="56"/>
      <c r="G14" s="56"/>
      <c r="H14" s="17"/>
      <c r="I14" s="83"/>
      <c r="J14" s="81">
        <f t="shared" si="0"/>
        <v>3730.65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 t="s">
        <v>166</v>
      </c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665</v>
      </c>
      <c r="C19" s="95"/>
      <c r="D19" s="94"/>
      <c r="E19" s="96"/>
      <c r="F19" s="94"/>
      <c r="G19" s="94"/>
      <c r="H19" s="98"/>
      <c r="I19" s="99">
        <v>665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3730.65</v>
      </c>
      <c r="C20" s="95"/>
      <c r="D20" s="94"/>
      <c r="E20" s="96"/>
      <c r="F20" s="94"/>
      <c r="G20" s="94"/>
      <c r="H20" s="98"/>
      <c r="I20" s="99">
        <v>3730.65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20.04</v>
      </c>
      <c r="C37" s="100"/>
      <c r="D37" s="66"/>
      <c r="E37" s="67"/>
      <c r="F37" s="66"/>
      <c r="G37" s="66"/>
      <c r="H37" s="102"/>
      <c r="I37" s="79">
        <v>20.04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112.42440000000001</v>
      </c>
      <c r="C38" s="100"/>
      <c r="D38" s="66"/>
      <c r="E38" s="67"/>
      <c r="F38" s="66"/>
      <c r="G38" s="66"/>
      <c r="H38" s="102"/>
      <c r="I38" s="79"/>
      <c r="J38" s="81">
        <f t="shared" si="0"/>
        <v>112.42440000000001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20.04</v>
      </c>
      <c r="C43" s="95"/>
      <c r="D43" s="94"/>
      <c r="E43" s="96"/>
      <c r="F43" s="94"/>
      <c r="G43" s="94"/>
      <c r="H43" s="98"/>
      <c r="I43" s="99"/>
      <c r="J43" s="185">
        <f t="shared" si="0"/>
        <v>20.04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112.42440000000001</v>
      </c>
      <c r="C44" s="95"/>
      <c r="D44" s="94"/>
      <c r="E44" s="96"/>
      <c r="F44" s="94"/>
      <c r="G44" s="94"/>
      <c r="H44" s="98"/>
      <c r="I44" s="99"/>
      <c r="J44" s="185">
        <f t="shared" si="0"/>
        <v>112.42440000000001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44752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6579.51</v>
      </c>
      <c r="C49" s="116">
        <v>7.4999999999999997E-3</v>
      </c>
      <c r="D49" s="117">
        <f t="shared" si="18"/>
        <v>49.346325</v>
      </c>
      <c r="E49" s="172">
        <v>0</v>
      </c>
      <c r="F49" s="117">
        <f t="shared" si="15"/>
        <v>0</v>
      </c>
      <c r="G49" s="117">
        <f t="shared" si="16"/>
        <v>6530.1636749999998</v>
      </c>
      <c r="H49" s="173">
        <f t="shared" si="19"/>
        <v>44752</v>
      </c>
      <c r="I49" s="176">
        <f>915.72+5663.79</f>
        <v>6579.51</v>
      </c>
      <c r="J49" s="81">
        <f t="shared" si="0"/>
        <v>0</v>
      </c>
      <c r="K49" s="80">
        <v>6530.16</v>
      </c>
      <c r="L49" s="186">
        <f t="shared" si="17"/>
        <v>3.6749999999301508E-3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574.76</v>
      </c>
      <c r="C50" s="116">
        <v>7.4999999999999997E-3</v>
      </c>
      <c r="D50" s="117">
        <f t="shared" si="18"/>
        <v>4.3106999999999998</v>
      </c>
      <c r="E50" s="172">
        <v>0</v>
      </c>
      <c r="F50" s="117">
        <f t="shared" si="15"/>
        <v>0</v>
      </c>
      <c r="G50" s="117">
        <f t="shared" si="16"/>
        <v>570.44929999999999</v>
      </c>
      <c r="H50" s="173">
        <f t="shared" si="19"/>
        <v>44752</v>
      </c>
      <c r="I50" s="175"/>
      <c r="J50" s="81">
        <f t="shared" si="0"/>
        <v>574.76</v>
      </c>
      <c r="K50" s="80">
        <v>570.45000000000005</v>
      </c>
      <c r="L50" s="186">
        <f t="shared" si="17"/>
        <v>-7.000000000516593E-4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503.31000000000006</v>
      </c>
      <c r="C51" s="116">
        <v>1.4999999999999999E-2</v>
      </c>
      <c r="D51" s="117">
        <f>+B51*C51</f>
        <v>7.5496500000000006</v>
      </c>
      <c r="E51" s="172">
        <v>0</v>
      </c>
      <c r="F51" s="117">
        <f>D51*E51</f>
        <v>0</v>
      </c>
      <c r="G51" s="117">
        <f t="shared" si="16"/>
        <v>495.76035000000007</v>
      </c>
      <c r="H51" s="173">
        <f t="shared" si="19"/>
        <v>44752</v>
      </c>
      <c r="I51" s="175">
        <v>1078.07</v>
      </c>
      <c r="J51" s="81">
        <f t="shared" si="0"/>
        <v>-574.75999999999988</v>
      </c>
      <c r="K51" s="80">
        <v>495.76</v>
      </c>
      <c r="L51" s="186">
        <f t="shared" si="17"/>
        <v>3.5000000008267307E-4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198.78</v>
      </c>
      <c r="C56" s="116">
        <v>2.5000000000000001E-2</v>
      </c>
      <c r="D56" s="117">
        <f t="shared" si="20"/>
        <v>4.9695</v>
      </c>
      <c r="E56" s="172">
        <v>0.05</v>
      </c>
      <c r="F56" s="117">
        <f t="shared" si="21"/>
        <v>8.5681034482758633</v>
      </c>
      <c r="G56" s="117">
        <f t="shared" si="22"/>
        <v>185.24239655172414</v>
      </c>
      <c r="H56" s="173">
        <f t="shared" si="19"/>
        <v>44752</v>
      </c>
      <c r="I56" s="176">
        <f>136.75+62.03</f>
        <v>198.78</v>
      </c>
      <c r="J56" s="81">
        <f t="shared" si="0"/>
        <v>0</v>
      </c>
      <c r="K56" s="80">
        <v>185.24</v>
      </c>
      <c r="L56" s="186">
        <f t="shared" si="17"/>
        <v>2.3965517241322232E-3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66.176175000000001</v>
      </c>
      <c r="E61" s="177"/>
      <c r="F61" s="57">
        <f>SUM(F46:F58)</f>
        <v>8.5681034482758633</v>
      </c>
      <c r="G61" s="57">
        <f>SUM(G46:G58)</f>
        <v>7781.6157215517251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7781.6157215517251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15563.23144310345</v>
      </c>
      <c r="H64" s="184"/>
      <c r="I64" s="175"/>
      <c r="J64" s="81">
        <f t="shared" si="0"/>
        <v>0</v>
      </c>
      <c r="K64" s="80"/>
      <c r="L64" s="186">
        <f t="shared" si="17"/>
        <v>15563.23144310345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12304.9344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12158.7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12257.35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-98.649999999999636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221</v>
      </c>
      <c r="P70" s="228">
        <v>114</v>
      </c>
      <c r="Q70" s="228">
        <v>1001</v>
      </c>
      <c r="R70" s="255">
        <v>604.30999999999995</v>
      </c>
      <c r="S70" s="228"/>
      <c r="T70" s="256">
        <v>62.03</v>
      </c>
      <c r="U70" s="189">
        <f t="shared" ref="U70:U74" si="34">((T70/U$10)*U$9)</f>
        <v>2.6737068965517246</v>
      </c>
      <c r="V70" s="189">
        <f t="shared" ref="V70:V74" si="35">R70*V$10</f>
        <v>4.5323249999999993</v>
      </c>
      <c r="W70" s="189">
        <f t="shared" ref="W70:W74" si="36">+S70*V$10</f>
        <v>0</v>
      </c>
      <c r="X70" s="189">
        <f t="shared" ref="X70:X74" si="37">+T70*X$10</f>
        <v>1.5507500000000001</v>
      </c>
      <c r="Y70" s="189">
        <f t="shared" ref="Y70:Z74" si="38">R70-V70</f>
        <v>599.77767499999993</v>
      </c>
      <c r="Z70" s="189">
        <f t="shared" si="38"/>
        <v>0</v>
      </c>
      <c r="AA70" s="189">
        <f t="shared" ref="AA70:AA74" si="39">T70-U70-X70</f>
        <v>57.805543103448279</v>
      </c>
      <c r="AB70" s="87"/>
    </row>
    <row r="71" spans="1:30" ht="28.5" customHeight="1" thickBot="1" x14ac:dyDescent="0.3">
      <c r="A71" s="25" t="s">
        <v>57</v>
      </c>
      <c r="B71" s="70">
        <f>(B65-B69)-B72</f>
        <v>47.584399999999732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221</v>
      </c>
      <c r="P71" s="228">
        <v>233</v>
      </c>
      <c r="Q71" s="228">
        <v>2001</v>
      </c>
      <c r="R71" s="255">
        <v>311.41000000000003</v>
      </c>
      <c r="S71" s="228"/>
      <c r="T71" s="228"/>
      <c r="U71" s="189">
        <f t="shared" si="34"/>
        <v>0</v>
      </c>
      <c r="V71" s="189">
        <f t="shared" si="35"/>
        <v>2.335575</v>
      </c>
      <c r="W71" s="189">
        <f t="shared" si="36"/>
        <v>0</v>
      </c>
      <c r="X71" s="189">
        <f t="shared" si="37"/>
        <v>0</v>
      </c>
      <c r="Y71" s="189">
        <f t="shared" si="38"/>
        <v>309.07442500000002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248</v>
      </c>
      <c r="Q72" s="228">
        <v>2003</v>
      </c>
      <c r="R72" s="255">
        <f>1.02+1115.69</f>
        <v>1116.71</v>
      </c>
      <c r="S72" s="228"/>
      <c r="T72" s="228"/>
      <c r="U72" s="189">
        <f t="shared" si="34"/>
        <v>0</v>
      </c>
      <c r="V72" s="189">
        <f t="shared" si="35"/>
        <v>8.3753250000000001</v>
      </c>
      <c r="W72" s="189">
        <f t="shared" si="36"/>
        <v>0</v>
      </c>
      <c r="X72" s="189">
        <f t="shared" si="37"/>
        <v>0</v>
      </c>
      <c r="Y72" s="189">
        <f t="shared" si="38"/>
        <v>1108.3346750000001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246</v>
      </c>
      <c r="Q73" s="228">
        <v>2003</v>
      </c>
      <c r="R73" s="255">
        <f>1427.45+1119.87</f>
        <v>2547.3199999999997</v>
      </c>
      <c r="S73" s="228"/>
      <c r="T73" s="228"/>
      <c r="U73" s="189">
        <f t="shared" si="34"/>
        <v>0</v>
      </c>
      <c r="V73" s="189">
        <f t="shared" si="35"/>
        <v>19.104899999999997</v>
      </c>
      <c r="W73" s="189">
        <f t="shared" si="36"/>
        <v>0</v>
      </c>
      <c r="X73" s="189">
        <f t="shared" si="37"/>
        <v>0</v>
      </c>
      <c r="Y73" s="189">
        <f t="shared" si="38"/>
        <v>2528.2150999999999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247</v>
      </c>
      <c r="Q74" s="228">
        <v>2002</v>
      </c>
      <c r="R74" s="255">
        <f>519.65+1480.11</f>
        <v>1999.7599999999998</v>
      </c>
      <c r="S74" s="228"/>
      <c r="T74" s="255">
        <f>36.75+100</f>
        <v>136.75</v>
      </c>
      <c r="U74" s="189">
        <f t="shared" si="34"/>
        <v>5.8943965517241388</v>
      </c>
      <c r="V74" s="189">
        <f t="shared" si="35"/>
        <v>14.998199999999997</v>
      </c>
      <c r="W74" s="189">
        <f t="shared" si="36"/>
        <v>0</v>
      </c>
      <c r="X74" s="189">
        <f t="shared" si="37"/>
        <v>3.4187500000000002</v>
      </c>
      <c r="Y74" s="189">
        <f t="shared" si="38"/>
        <v>1984.7617999999998</v>
      </c>
      <c r="Z74" s="189">
        <f t="shared" si="38"/>
        <v>0</v>
      </c>
      <c r="AA74" s="189">
        <f t="shared" si="39"/>
        <v>127.43685344827587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6579.51</v>
      </c>
      <c r="S75" s="192"/>
      <c r="T75" s="192">
        <f>SUM(T70:T74)</f>
        <v>198.78</v>
      </c>
      <c r="U75" s="192">
        <f>SUM(U70:U74)</f>
        <v>8.5681034482758633</v>
      </c>
      <c r="V75" s="192">
        <f t="shared" ref="V75:AA75" si="41">SUM(V70:V74)</f>
        <v>49.346324999999993</v>
      </c>
      <c r="W75" s="192">
        <f t="shared" si="41"/>
        <v>0</v>
      </c>
      <c r="X75" s="192">
        <f t="shared" si="41"/>
        <v>4.9695</v>
      </c>
      <c r="Y75" s="192">
        <f t="shared" si="41"/>
        <v>6530.1636749999998</v>
      </c>
      <c r="Z75" s="192">
        <f t="shared" si="41"/>
        <v>0</v>
      </c>
      <c r="AA75" s="193">
        <f t="shared" si="41"/>
        <v>185.24239655172414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570.45000000000005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38.159999999999997</v>
      </c>
      <c r="Q80" s="137">
        <v>39.46</v>
      </c>
      <c r="R80" s="82">
        <v>7.4999999999999997E-3</v>
      </c>
      <c r="S80" s="194">
        <f t="shared" si="43"/>
        <v>0.58215000000000006</v>
      </c>
      <c r="T80" s="213">
        <f t="shared" si="44"/>
        <v>77.037850000000006</v>
      </c>
      <c r="U80" s="211">
        <v>173.61</v>
      </c>
      <c r="V80" s="112"/>
      <c r="W80" s="113">
        <v>1.4999999999999999E-2</v>
      </c>
      <c r="X80" s="196">
        <f t="shared" si="45"/>
        <v>2.6041500000000002</v>
      </c>
      <c r="Y80" s="246">
        <f t="shared" si="46"/>
        <v>171.00585000000001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570.45000000000005</v>
      </c>
      <c r="N81" s="87">
        <v>4</v>
      </c>
      <c r="O81" s="87" t="s">
        <v>112</v>
      </c>
      <c r="P81" s="137">
        <v>88.77</v>
      </c>
      <c r="Q81" s="137">
        <v>125.29</v>
      </c>
      <c r="R81" s="82">
        <v>7.4999999999999997E-3</v>
      </c>
      <c r="S81" s="194">
        <f t="shared" si="43"/>
        <v>1.60545</v>
      </c>
      <c r="T81" s="246">
        <f t="shared" si="44"/>
        <v>212.45455000000001</v>
      </c>
      <c r="U81" s="211">
        <v>180.73</v>
      </c>
      <c r="V81" s="112"/>
      <c r="W81" s="113">
        <v>1.4999999999999999E-2</v>
      </c>
      <c r="X81" s="196">
        <f t="shared" si="45"/>
        <v>2.7109499999999995</v>
      </c>
      <c r="Y81" s="237">
        <f t="shared" si="46"/>
        <v>178.01904999999999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126.25</v>
      </c>
      <c r="Q82" s="137">
        <v>156.83000000000001</v>
      </c>
      <c r="R82" s="82">
        <v>7.4999999999999997E-3</v>
      </c>
      <c r="S82" s="194">
        <f t="shared" si="43"/>
        <v>2.1231000000000004</v>
      </c>
      <c r="T82" s="246">
        <f t="shared" si="44"/>
        <v>280.95690000000002</v>
      </c>
      <c r="U82" s="211">
        <v>148.97</v>
      </c>
      <c r="V82" s="112"/>
      <c r="W82" s="113">
        <v>1.4999999999999999E-2</v>
      </c>
      <c r="X82" s="196">
        <f t="shared" si="45"/>
        <v>2.23455</v>
      </c>
      <c r="Y82" s="237">
        <f t="shared" si="46"/>
        <v>146.73544999999999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4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253.18</v>
      </c>
      <c r="Q98" s="195">
        <f>SUM(Q78:Q97)</f>
        <v>321.58000000000004</v>
      </c>
      <c r="R98" s="111"/>
      <c r="S98" s="195">
        <f>SUM(S78:S97)</f>
        <v>4.3107000000000006</v>
      </c>
      <c r="T98" s="195">
        <f>SUM(T78:T97)</f>
        <v>570.44929999999999</v>
      </c>
      <c r="U98" s="114">
        <f>SUM(U78:U97)</f>
        <v>503.31000000000006</v>
      </c>
      <c r="V98" s="114">
        <f>SUM(V78:V97)</f>
        <v>0</v>
      </c>
      <c r="W98" s="112"/>
      <c r="X98" s="197">
        <f>SUM(X78:X97)</f>
        <v>7.5496499999999997</v>
      </c>
      <c r="Y98" s="197">
        <f>SUM(Y78:Y97)</f>
        <v>495.76035000000002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0</v>
      </c>
    </row>
    <row r="105" spans="14:30" x14ac:dyDescent="0.25">
      <c r="N105" s="85"/>
      <c r="Q105" s="212">
        <f>P79+Q79+U79</f>
        <v>0</v>
      </c>
    </row>
    <row r="106" spans="14:30" x14ac:dyDescent="0.25">
      <c r="N106" s="85"/>
      <c r="Q106" s="215">
        <f>P80+Q80+U80</f>
        <v>251.23000000000002</v>
      </c>
    </row>
    <row r="107" spans="14:30" x14ac:dyDescent="0.25">
      <c r="N107" s="85"/>
      <c r="Q107" s="215">
        <f>P81+Q81+U81</f>
        <v>394.78999999999996</v>
      </c>
    </row>
    <row r="108" spans="14:30" x14ac:dyDescent="0.25">
      <c r="N108" s="85"/>
      <c r="Q108" s="212">
        <f>P82+Q82+U82</f>
        <v>432.05000000000007</v>
      </c>
    </row>
    <row r="109" spans="14:30" x14ac:dyDescent="0.25">
      <c r="N109" s="85"/>
      <c r="Q109" s="212">
        <f>P83+Q83+U83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1287.5</v>
      </c>
      <c r="C12" s="15"/>
      <c r="D12" s="56"/>
      <c r="E12" s="16"/>
      <c r="F12" s="56"/>
      <c r="G12" s="56"/>
      <c r="H12" s="17"/>
      <c r="I12" s="83">
        <v>1287.5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828</v>
      </c>
      <c r="C13" s="15"/>
      <c r="D13" s="56"/>
      <c r="E13" s="16"/>
      <c r="F13" s="56"/>
      <c r="G13" s="56"/>
      <c r="H13" s="17"/>
      <c r="I13" s="83">
        <v>828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4645.08</v>
      </c>
      <c r="C14" s="15"/>
      <c r="D14" s="56"/>
      <c r="E14" s="16"/>
      <c r="F14" s="56"/>
      <c r="G14" s="56"/>
      <c r="H14" s="17"/>
      <c r="I14" s="83">
        <v>4645.08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828</v>
      </c>
      <c r="C19" s="95"/>
      <c r="D19" s="94"/>
      <c r="E19" s="96"/>
      <c r="F19" s="94"/>
      <c r="G19" s="94"/>
      <c r="H19" s="98"/>
      <c r="I19" s="99">
        <v>828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4645.08</v>
      </c>
      <c r="C20" s="95"/>
      <c r="D20" s="94"/>
      <c r="E20" s="96"/>
      <c r="F20" s="94"/>
      <c r="G20" s="94"/>
      <c r="H20" s="98"/>
      <c r="I20" s="99">
        <v>4645.08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63.3</v>
      </c>
      <c r="C37" s="100"/>
      <c r="D37" s="66"/>
      <c r="E37" s="67"/>
      <c r="F37" s="66"/>
      <c r="G37" s="66"/>
      <c r="H37" s="102"/>
      <c r="I37" s="79"/>
      <c r="J37" s="81">
        <f t="shared" si="0"/>
        <v>63.3</v>
      </c>
      <c r="K37" s="80">
        <v>63.3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355.113</v>
      </c>
      <c r="C38" s="100"/>
      <c r="D38" s="66"/>
      <c r="E38" s="67"/>
      <c r="F38" s="66"/>
      <c r="G38" s="66"/>
      <c r="H38" s="102"/>
      <c r="I38" s="79"/>
      <c r="J38" s="81">
        <f t="shared" si="0"/>
        <v>355.113</v>
      </c>
      <c r="K38" s="80">
        <v>355.11</v>
      </c>
      <c r="L38" s="186">
        <f>K38-B38</f>
        <v>-2.9999999999859028E-3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63.3</v>
      </c>
      <c r="C43" s="95"/>
      <c r="D43" s="94"/>
      <c r="E43" s="96"/>
      <c r="F43" s="94"/>
      <c r="G43" s="94"/>
      <c r="H43" s="98"/>
      <c r="I43" s="99">
        <v>63.3</v>
      </c>
      <c r="J43" s="185">
        <f t="shared" si="0"/>
        <v>0</v>
      </c>
      <c r="K43" s="99">
        <f>49.94+13.36</f>
        <v>63.3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355.113</v>
      </c>
      <c r="C44" s="95"/>
      <c r="D44" s="94"/>
      <c r="E44" s="96"/>
      <c r="F44" s="94"/>
      <c r="G44" s="94"/>
      <c r="H44" s="98"/>
      <c r="I44" s="99"/>
      <c r="J44" s="185">
        <f t="shared" si="0"/>
        <v>355.113</v>
      </c>
      <c r="K44" s="99">
        <v>355.11</v>
      </c>
      <c r="L44" s="187">
        <f>K44-B44</f>
        <v>-2.9999999999859028E-3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4861.12</v>
      </c>
      <c r="C49" s="116">
        <v>7.4999999999999997E-3</v>
      </c>
      <c r="D49" s="117">
        <f t="shared" si="17"/>
        <v>36.458399999999997</v>
      </c>
      <c r="E49" s="172">
        <v>0</v>
      </c>
      <c r="F49" s="117">
        <f t="shared" si="15"/>
        <v>0</v>
      </c>
      <c r="G49" s="117">
        <f t="shared" si="16"/>
        <v>4824.6615999999995</v>
      </c>
      <c r="H49" s="173">
        <f t="shared" si="19"/>
        <v>44753</v>
      </c>
      <c r="I49" s="176">
        <f>1434.49+3426.63</f>
        <v>4861.12</v>
      </c>
      <c r="J49" s="81">
        <f t="shared" si="0"/>
        <v>0</v>
      </c>
      <c r="K49" s="80">
        <v>4824.66</v>
      </c>
      <c r="L49" s="186">
        <f t="shared" si="18"/>
        <v>1.5999999995983671E-3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55.960000000000008</v>
      </c>
      <c r="C50" s="116">
        <v>7.4999999999999997E-3</v>
      </c>
      <c r="D50" s="117">
        <f t="shared" si="17"/>
        <v>0.41970000000000002</v>
      </c>
      <c r="E50" s="172">
        <v>0</v>
      </c>
      <c r="F50" s="117">
        <f t="shared" si="15"/>
        <v>0</v>
      </c>
      <c r="G50" s="117">
        <f t="shared" si="16"/>
        <v>55.540300000000009</v>
      </c>
      <c r="H50" s="173">
        <f t="shared" si="19"/>
        <v>44753</v>
      </c>
      <c r="I50" s="175"/>
      <c r="J50" s="81">
        <f t="shared" si="0"/>
        <v>55.960000000000008</v>
      </c>
      <c r="K50" s="80">
        <v>55.54</v>
      </c>
      <c r="L50" s="186">
        <f t="shared" si="18"/>
        <v>3.0000000000995897E-4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273.5</v>
      </c>
      <c r="C51" s="116">
        <v>1.4999999999999999E-2</v>
      </c>
      <c r="D51" s="117">
        <f>+B51*C51</f>
        <v>4.1025</v>
      </c>
      <c r="E51" s="172">
        <v>0</v>
      </c>
      <c r="F51" s="117">
        <f>D51*E51</f>
        <v>0</v>
      </c>
      <c r="G51" s="117">
        <f t="shared" si="16"/>
        <v>269.39749999999998</v>
      </c>
      <c r="H51" s="173">
        <f t="shared" si="19"/>
        <v>44753</v>
      </c>
      <c r="I51" s="175">
        <v>329.46</v>
      </c>
      <c r="J51" s="81">
        <f t="shared" si="0"/>
        <v>-55.95999999999998</v>
      </c>
      <c r="K51" s="80">
        <v>269.39999999999998</v>
      </c>
      <c r="L51" s="186">
        <f t="shared" si="18"/>
        <v>-2.4999999999977263E-3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45.17</v>
      </c>
      <c r="C56" s="116">
        <v>2.5000000000000001E-2</v>
      </c>
      <c r="D56" s="117">
        <f t="shared" si="20"/>
        <v>1.1292500000000001</v>
      </c>
      <c r="E56" s="172">
        <v>0.05</v>
      </c>
      <c r="F56" s="117">
        <f t="shared" si="21"/>
        <v>1.94698275862069</v>
      </c>
      <c r="G56" s="117">
        <f t="shared" si="22"/>
        <v>42.093767241379311</v>
      </c>
      <c r="H56" s="173">
        <f t="shared" si="19"/>
        <v>44753</v>
      </c>
      <c r="I56" s="176">
        <v>45.17</v>
      </c>
      <c r="J56" s="81">
        <f t="shared" si="0"/>
        <v>0</v>
      </c>
      <c r="K56" s="80">
        <v>42.09</v>
      </c>
      <c r="L56" s="186">
        <f t="shared" si="18"/>
        <v>3.7672413793075066E-3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42.109849999999994</v>
      </c>
      <c r="E61" s="177"/>
      <c r="F61" s="57">
        <f>SUM(F46:F58)</f>
        <v>1.94698275862069</v>
      </c>
      <c r="G61" s="57">
        <f>SUM(G46:G58)</f>
        <v>5191.6931672413784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5191.6931672413784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10383.386334482757</v>
      </c>
      <c r="H64" s="184"/>
      <c r="I64" s="175"/>
      <c r="J64" s="81">
        <f t="shared" si="0"/>
        <v>0</v>
      </c>
      <c r="K64" s="80"/>
      <c r="L64" s="186">
        <f t="shared" si="18"/>
        <v>10383.386334482757</v>
      </c>
      <c r="M64" s="130"/>
      <c r="N64" s="87">
        <v>1</v>
      </c>
      <c r="O64" s="122" t="s">
        <v>193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11523.442999999999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11378.75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11508.48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-129.72999999999956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249</v>
      </c>
      <c r="Q70" s="228">
        <v>1001</v>
      </c>
      <c r="R70" s="255">
        <f>51.37+836.75</f>
        <v>888.12</v>
      </c>
      <c r="S70" s="228"/>
      <c r="T70" s="256">
        <f>29.61+15.56</f>
        <v>45.17</v>
      </c>
      <c r="U70" s="189">
        <f t="shared" ref="U70:U74" si="34">((T70/U$10)*U$9)</f>
        <v>1.94698275862069</v>
      </c>
      <c r="V70" s="189">
        <f t="shared" ref="V70:V74" si="35">R70*V$10</f>
        <v>6.6608999999999998</v>
      </c>
      <c r="W70" s="189">
        <f t="shared" ref="W70:W74" si="36">+S70*V$10</f>
        <v>0</v>
      </c>
      <c r="X70" s="189">
        <f t="shared" ref="X70:X74" si="37">+T70*X$10</f>
        <v>1.1292500000000001</v>
      </c>
      <c r="Y70" s="189">
        <f t="shared" ref="Y70:Z74" si="38">R70-V70</f>
        <v>881.45910000000003</v>
      </c>
      <c r="Z70" s="189">
        <f t="shared" si="38"/>
        <v>0</v>
      </c>
      <c r="AA70" s="189">
        <f t="shared" ref="AA70:AA74" si="39">T70-U70-X70</f>
        <v>42.093767241379311</v>
      </c>
      <c r="AB70" s="87"/>
    </row>
    <row r="71" spans="1:30" ht="28.5" customHeight="1" thickBot="1" x14ac:dyDescent="0.3">
      <c r="A71" s="25" t="s">
        <v>57</v>
      </c>
      <c r="B71" s="70">
        <f>(B65-B69)-B72</f>
        <v>14.962999999999738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 t="s">
        <v>250</v>
      </c>
      <c r="Q71" s="228">
        <v>2001</v>
      </c>
      <c r="R71" s="255">
        <f>170.6+5.32+120.39</f>
        <v>296.31</v>
      </c>
      <c r="S71" s="228"/>
      <c r="T71" s="228"/>
      <c r="U71" s="189">
        <f t="shared" si="34"/>
        <v>0</v>
      </c>
      <c r="V71" s="189">
        <f t="shared" si="35"/>
        <v>2.2223250000000001</v>
      </c>
      <c r="W71" s="189">
        <f t="shared" si="36"/>
        <v>0</v>
      </c>
      <c r="X71" s="189">
        <f t="shared" si="37"/>
        <v>0</v>
      </c>
      <c r="Y71" s="189">
        <f t="shared" si="38"/>
        <v>294.08767499999999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219</v>
      </c>
      <c r="P72" s="228">
        <v>214</v>
      </c>
      <c r="Q72" s="228">
        <v>2001</v>
      </c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251</v>
      </c>
      <c r="Q73" s="228">
        <v>2003</v>
      </c>
      <c r="R73" s="255">
        <f>250.06+38.08+603.15+1383.91</f>
        <v>2275.1999999999998</v>
      </c>
      <c r="S73" s="228"/>
      <c r="T73" s="228"/>
      <c r="U73" s="189">
        <f t="shared" si="34"/>
        <v>0</v>
      </c>
      <c r="V73" s="189">
        <f t="shared" si="35"/>
        <v>17.063999999999997</v>
      </c>
      <c r="W73" s="189">
        <f t="shared" si="36"/>
        <v>0</v>
      </c>
      <c r="X73" s="189">
        <f t="shared" si="37"/>
        <v>0</v>
      </c>
      <c r="Y73" s="189">
        <f t="shared" si="38"/>
        <v>2258.136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252</v>
      </c>
      <c r="Q74" s="228">
        <v>2003</v>
      </c>
      <c r="R74" s="255">
        <f>68.94+44.86+282.09+1005.6</f>
        <v>1401.49</v>
      </c>
      <c r="S74" s="228"/>
      <c r="T74" s="228"/>
      <c r="U74" s="189">
        <f t="shared" si="34"/>
        <v>0</v>
      </c>
      <c r="V74" s="189">
        <f t="shared" si="35"/>
        <v>10.511175</v>
      </c>
      <c r="W74" s="189">
        <f t="shared" si="36"/>
        <v>0</v>
      </c>
      <c r="X74" s="189">
        <f t="shared" si="37"/>
        <v>0</v>
      </c>
      <c r="Y74" s="189">
        <f t="shared" si="38"/>
        <v>1390.9788249999999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4861.12</v>
      </c>
      <c r="S75" s="192"/>
      <c r="T75" s="192">
        <f>SUM(T70:T74)</f>
        <v>45.17</v>
      </c>
      <c r="U75" s="192">
        <f>SUM(U70:U74)</f>
        <v>1.94698275862069</v>
      </c>
      <c r="V75" s="192">
        <f t="shared" ref="V75:AA75" si="41">SUM(V70:V74)</f>
        <v>36.458399999999997</v>
      </c>
      <c r="W75" s="192">
        <f t="shared" si="41"/>
        <v>0</v>
      </c>
      <c r="X75" s="192">
        <f t="shared" si="41"/>
        <v>1.1292500000000001</v>
      </c>
      <c r="Y75" s="192">
        <f t="shared" si="41"/>
        <v>4824.6616000000004</v>
      </c>
      <c r="Z75" s="192">
        <f t="shared" si="41"/>
        <v>0</v>
      </c>
      <c r="AA75" s="193">
        <f t="shared" si="41"/>
        <v>42.093767241379311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/>
      <c r="U78" s="211">
        <v>100.19</v>
      </c>
      <c r="V78" s="112"/>
      <c r="W78" s="113">
        <v>1.4999999999999999E-2</v>
      </c>
      <c r="X78" s="196">
        <f>+(U78+V78)*W78</f>
        <v>1.50285</v>
      </c>
      <c r="Y78" s="253">
        <f>+(U78+V78)-X78</f>
        <v>98.687150000000003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18.21</v>
      </c>
      <c r="Q79" s="137"/>
      <c r="R79" s="82">
        <v>7.4999999999999997E-3</v>
      </c>
      <c r="S79" s="194">
        <f t="shared" ref="S79:S97" si="43">+(P79+Q79)*R79</f>
        <v>0.136575</v>
      </c>
      <c r="T79" s="246">
        <f t="shared" ref="T79:T97" si="44">+(P79+Q79)-S79</f>
        <v>18.073425</v>
      </c>
      <c r="U79" s="211">
        <v>43.55</v>
      </c>
      <c r="V79" s="112"/>
      <c r="W79" s="113">
        <v>1.4999999999999999E-2</v>
      </c>
      <c r="X79" s="196">
        <f t="shared" ref="X79:X97" si="45">+(U79+V79)*W79</f>
        <v>0.65324999999999989</v>
      </c>
      <c r="Y79" s="253">
        <f t="shared" ref="Y79:Y97" si="46">+(U79+V79)-X79</f>
        <v>42.896749999999997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4.78</v>
      </c>
      <c r="Q80" s="137">
        <v>26.37</v>
      </c>
      <c r="R80" s="82">
        <v>7.4999999999999997E-3</v>
      </c>
      <c r="S80" s="194">
        <f t="shared" si="43"/>
        <v>0.233625</v>
      </c>
      <c r="T80" s="258">
        <f t="shared" si="44"/>
        <v>30.916375000000002</v>
      </c>
      <c r="U80" s="211">
        <v>129.76</v>
      </c>
      <c r="V80" s="112"/>
      <c r="W80" s="113">
        <v>1.4999999999999999E-2</v>
      </c>
      <c r="X80" s="196">
        <f t="shared" si="45"/>
        <v>1.9463999999999997</v>
      </c>
      <c r="Y80" s="213">
        <f t="shared" si="46"/>
        <v>127.81359999999999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6.6</v>
      </c>
      <c r="Q81" s="137"/>
      <c r="R81" s="82">
        <v>7.4999999999999997E-3</v>
      </c>
      <c r="S81" s="194">
        <f t="shared" si="43"/>
        <v>4.9499999999999995E-2</v>
      </c>
      <c r="T81" s="258">
        <f t="shared" si="44"/>
        <v>6.5504999999999995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19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29.590000000000003</v>
      </c>
      <c r="Q98" s="195">
        <f>SUM(Q78:Q97)</f>
        <v>26.37</v>
      </c>
      <c r="R98" s="111"/>
      <c r="S98" s="195">
        <f>SUM(S78:S97)</f>
        <v>0.41969999999999996</v>
      </c>
      <c r="T98" s="195">
        <f>SUM(T78:T97)</f>
        <v>55.540300000000002</v>
      </c>
      <c r="U98" s="114">
        <f>SUM(U78:U97)</f>
        <v>273.5</v>
      </c>
      <c r="V98" s="114">
        <f>SUM(V78:V97)</f>
        <v>0</v>
      </c>
      <c r="W98" s="112"/>
      <c r="X98" s="197">
        <f>SUM(X78:X97)</f>
        <v>4.1024999999999991</v>
      </c>
      <c r="Y98" s="197">
        <f>SUM(Y78:Y97)</f>
        <v>269.39749999999998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</row>
    <row r="102" spans="14:30" x14ac:dyDescent="0.25">
      <c r="N102" s="85"/>
      <c r="P102" s="84"/>
    </row>
    <row r="103" spans="14:30" x14ac:dyDescent="0.25">
      <c r="N103" s="85"/>
      <c r="P103" s="215">
        <f>P78+Q78+U78</f>
        <v>100.19</v>
      </c>
    </row>
    <row r="104" spans="14:30" x14ac:dyDescent="0.25">
      <c r="N104" s="85"/>
      <c r="P104" s="236">
        <f>P79+Q79+U79</f>
        <v>61.76</v>
      </c>
    </row>
    <row r="105" spans="14:30" x14ac:dyDescent="0.25">
      <c r="N105" s="85"/>
      <c r="P105" s="215">
        <f>P80+Q80+U80</f>
        <v>160.91</v>
      </c>
    </row>
    <row r="106" spans="14:30" x14ac:dyDescent="0.25">
      <c r="N106" s="85"/>
      <c r="P106" s="215">
        <f>P81+U81+Q81</f>
        <v>6.6</v>
      </c>
    </row>
    <row r="107" spans="14:30" x14ac:dyDescent="0.25">
      <c r="N107" s="85"/>
      <c r="P107" s="236">
        <f>P82+Q82+U82</f>
        <v>0</v>
      </c>
    </row>
    <row r="108" spans="14:30" x14ac:dyDescent="0.25">
      <c r="N108" s="85"/>
      <c r="P108" s="236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6" zoomScale="90" zoomScaleNormal="90" workbookViewId="0">
      <selection activeCell="A14" sqref="A1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794</v>
      </c>
      <c r="C12" s="15"/>
      <c r="D12" s="56"/>
      <c r="E12" s="16"/>
      <c r="F12" s="56"/>
      <c r="G12" s="56"/>
      <c r="H12" s="17"/>
      <c r="I12" s="83">
        <v>794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317</v>
      </c>
      <c r="C13" s="15"/>
      <c r="D13" s="56"/>
      <c r="E13" s="16"/>
      <c r="F13" s="56"/>
      <c r="G13" s="56"/>
      <c r="H13" s="17"/>
      <c r="I13" s="83">
        <v>317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1778.3700000000001</v>
      </c>
      <c r="C14" s="15"/>
      <c r="D14" s="56"/>
      <c r="E14" s="16"/>
      <c r="F14" s="56"/>
      <c r="G14" s="56"/>
      <c r="H14" s="17"/>
      <c r="I14" s="83">
        <v>1778.37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317</v>
      </c>
      <c r="C19" s="95"/>
      <c r="D19" s="94"/>
      <c r="E19" s="96"/>
      <c r="F19" s="94"/>
      <c r="G19" s="94"/>
      <c r="H19" s="98"/>
      <c r="I19" s="99">
        <v>317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1778.3700000000001</v>
      </c>
      <c r="C20" s="95"/>
      <c r="D20" s="94"/>
      <c r="E20" s="96"/>
      <c r="F20" s="94"/>
      <c r="G20" s="94"/>
      <c r="H20" s="98"/>
      <c r="I20" s="99">
        <v>1778.37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44754</v>
      </c>
      <c r="I48" s="219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5376.51</v>
      </c>
      <c r="C49" s="116">
        <v>7.4999999999999997E-3</v>
      </c>
      <c r="D49" s="117">
        <f t="shared" si="18"/>
        <v>40.323824999999999</v>
      </c>
      <c r="E49" s="172">
        <v>0</v>
      </c>
      <c r="F49" s="117">
        <f t="shared" si="15"/>
        <v>0</v>
      </c>
      <c r="G49" s="117">
        <f t="shared" si="16"/>
        <v>5336.1861749999998</v>
      </c>
      <c r="H49" s="173">
        <f t="shared" si="19"/>
        <v>44754</v>
      </c>
      <c r="I49" s="176">
        <f>174.77+5201.74</f>
        <v>5376.51</v>
      </c>
      <c r="J49" s="81">
        <f t="shared" si="0"/>
        <v>0</v>
      </c>
      <c r="K49" s="80">
        <v>5336.19</v>
      </c>
      <c r="L49" s="186">
        <f t="shared" si="17"/>
        <v>-3.8249999997788109E-3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392.41</v>
      </c>
      <c r="C50" s="116">
        <v>7.4999999999999997E-3</v>
      </c>
      <c r="D50" s="117">
        <f t="shared" si="18"/>
        <v>2.9430749999999999</v>
      </c>
      <c r="E50" s="172">
        <v>0</v>
      </c>
      <c r="F50" s="117">
        <f t="shared" si="15"/>
        <v>0</v>
      </c>
      <c r="G50" s="117">
        <f t="shared" si="16"/>
        <v>389.466925</v>
      </c>
      <c r="H50" s="173">
        <f t="shared" si="19"/>
        <v>44754</v>
      </c>
      <c r="I50" s="175"/>
      <c r="J50" s="81">
        <f t="shared" si="0"/>
        <v>392.41</v>
      </c>
      <c r="K50" s="80">
        <v>389.47</v>
      </c>
      <c r="L50" s="186">
        <f t="shared" si="17"/>
        <v>-3.0750000000239197E-3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272.07</v>
      </c>
      <c r="C51" s="116">
        <v>1.4999999999999999E-2</v>
      </c>
      <c r="D51" s="117">
        <f>+B51*C51</f>
        <v>4.0810499999999994</v>
      </c>
      <c r="E51" s="172">
        <v>0</v>
      </c>
      <c r="F51" s="117">
        <f>D51*E51</f>
        <v>0</v>
      </c>
      <c r="G51" s="117">
        <f t="shared" si="16"/>
        <v>267.98894999999999</v>
      </c>
      <c r="H51" s="173">
        <f t="shared" si="19"/>
        <v>44754</v>
      </c>
      <c r="I51" s="175">
        <v>664.48</v>
      </c>
      <c r="J51" s="81">
        <f t="shared" si="0"/>
        <v>-392.41</v>
      </c>
      <c r="K51" s="80">
        <v>267.99</v>
      </c>
      <c r="L51" s="186">
        <f t="shared" si="17"/>
        <v>-1.0500000000206455E-3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44754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36.489999999999995</v>
      </c>
      <c r="C56" s="116">
        <v>2.5000000000000001E-2</v>
      </c>
      <c r="D56" s="117">
        <f t="shared" si="20"/>
        <v>0.91224999999999989</v>
      </c>
      <c r="E56" s="172">
        <v>0.05</v>
      </c>
      <c r="F56" s="117">
        <f t="shared" si="21"/>
        <v>1.5728448275862068</v>
      </c>
      <c r="G56" s="117">
        <f t="shared" si="22"/>
        <v>34.004905172413785</v>
      </c>
      <c r="H56" s="173">
        <f t="shared" si="19"/>
        <v>44754</v>
      </c>
      <c r="I56" s="176">
        <f>26.54+8.95</f>
        <v>35.489999999999995</v>
      </c>
      <c r="J56" s="81">
        <f t="shared" si="0"/>
        <v>1</v>
      </c>
      <c r="K56" s="80">
        <v>34</v>
      </c>
      <c r="L56" s="186">
        <f t="shared" si="17"/>
        <v>4.905172413785408E-3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48.260199999999998</v>
      </c>
      <c r="E61" s="177"/>
      <c r="F61" s="57">
        <f>SUM(F46:F58)</f>
        <v>1.5728448275862068</v>
      </c>
      <c r="G61" s="57">
        <f>SUM(G46:G58)</f>
        <v>6027.6469551724131</v>
      </c>
      <c r="H61" s="173">
        <f t="shared" si="19"/>
        <v>44754</v>
      </c>
      <c r="I61" s="175"/>
      <c r="J61" s="81">
        <f t="shared" si="0"/>
        <v>0</v>
      </c>
      <c r="K61" s="80"/>
      <c r="L61" s="186">
        <f t="shared" si="17"/>
        <v>6027.6469551724131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12055.293910344826</v>
      </c>
      <c r="H64" s="184"/>
      <c r="I64" s="175"/>
      <c r="J64" s="81">
        <f t="shared" si="0"/>
        <v>0</v>
      </c>
      <c r="K64" s="80"/>
      <c r="L64" s="186">
        <f t="shared" si="17"/>
        <v>12055.293910344826</v>
      </c>
      <c r="M64" s="130"/>
      <c r="N64" s="87">
        <v>1</v>
      </c>
      <c r="O64" s="122" t="s">
        <v>207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8649.85</v>
      </c>
      <c r="G65" s="22"/>
      <c r="L65" s="132"/>
      <c r="M65" s="131"/>
      <c r="N65" s="87">
        <v>2</v>
      </c>
      <c r="O65" s="122" t="s">
        <v>200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200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8596.57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200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8644.0400000000009</v>
      </c>
      <c r="C69" s="59"/>
      <c r="F69" s="87" t="s">
        <v>129</v>
      </c>
      <c r="G69" s="22"/>
      <c r="H69" s="89"/>
      <c r="I69" s="136"/>
      <c r="J69" s="136"/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B69-B68</f>
        <v>47.470000000001164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91</v>
      </c>
      <c r="Q70" s="228">
        <v>1001</v>
      </c>
      <c r="R70" s="222"/>
      <c r="S70" s="228"/>
      <c r="T70" s="256">
        <v>21.54</v>
      </c>
      <c r="U70" s="189">
        <f t="shared" ref="U70:U74" si="34">((T70/U$10)*U$9)</f>
        <v>0.92844827586206913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0.53849999999999998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20.07305172413793</v>
      </c>
      <c r="AB70" s="87"/>
    </row>
    <row r="71" spans="1:30" ht="28.5" customHeight="1" thickBot="1" x14ac:dyDescent="0.3">
      <c r="A71" s="25" t="s">
        <v>57</v>
      </c>
      <c r="B71" s="70">
        <f>(B65-B69)-B72</f>
        <v>5.8099999999994907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92</v>
      </c>
      <c r="Q71" s="228">
        <v>1001</v>
      </c>
      <c r="R71" s="255">
        <v>174.77</v>
      </c>
      <c r="S71" s="228"/>
      <c r="T71" s="228">
        <v>6</v>
      </c>
      <c r="U71" s="189">
        <f t="shared" si="34"/>
        <v>0.25862068965517243</v>
      </c>
      <c r="V71" s="189">
        <f t="shared" si="35"/>
        <v>1.310775</v>
      </c>
      <c r="W71" s="189">
        <f t="shared" si="36"/>
        <v>0</v>
      </c>
      <c r="X71" s="189">
        <f t="shared" si="37"/>
        <v>0.15000000000000002</v>
      </c>
      <c r="Y71" s="189">
        <f t="shared" si="38"/>
        <v>173.459225</v>
      </c>
      <c r="Z71" s="189">
        <f t="shared" si="38"/>
        <v>0</v>
      </c>
      <c r="AA71" s="189">
        <f t="shared" si="39"/>
        <v>5.591379310344827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219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253</v>
      </c>
      <c r="Q73" s="228">
        <v>2003</v>
      </c>
      <c r="R73" s="255">
        <f>106.2+1458.38</f>
        <v>1564.5800000000002</v>
      </c>
      <c r="S73" s="228"/>
      <c r="T73" s="222"/>
      <c r="U73" s="189">
        <f t="shared" si="34"/>
        <v>0</v>
      </c>
      <c r="V73" s="189">
        <f t="shared" si="35"/>
        <v>11.734350000000001</v>
      </c>
      <c r="W73" s="189">
        <f t="shared" si="36"/>
        <v>0</v>
      </c>
      <c r="X73" s="189">
        <f t="shared" si="37"/>
        <v>0</v>
      </c>
      <c r="Y73" s="189">
        <f t="shared" si="38"/>
        <v>1552.8456500000002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254</v>
      </c>
      <c r="Q74" s="228">
        <v>2003</v>
      </c>
      <c r="R74" s="255">
        <f>1951.52+1685.64</f>
        <v>3637.16</v>
      </c>
      <c r="S74" s="228"/>
      <c r="T74" s="256">
        <v>8.9499999999999993</v>
      </c>
      <c r="U74" s="189">
        <f t="shared" si="34"/>
        <v>0.38577586206896552</v>
      </c>
      <c r="V74" s="189">
        <f t="shared" si="35"/>
        <v>27.278699999999997</v>
      </c>
      <c r="W74" s="189">
        <f t="shared" si="36"/>
        <v>0</v>
      </c>
      <c r="X74" s="189">
        <f t="shared" si="37"/>
        <v>0.22375</v>
      </c>
      <c r="Y74" s="189">
        <f t="shared" si="38"/>
        <v>3609.8813</v>
      </c>
      <c r="Z74" s="189">
        <f t="shared" si="38"/>
        <v>0</v>
      </c>
      <c r="AA74" s="189">
        <f t="shared" si="39"/>
        <v>8.3404741379310323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5376.51</v>
      </c>
      <c r="S75" s="192"/>
      <c r="T75" s="192">
        <f>SUM(T70:T74)</f>
        <v>36.489999999999995</v>
      </c>
      <c r="U75" s="192">
        <f>SUM(U70:U74)</f>
        <v>1.572844827586207</v>
      </c>
      <c r="V75" s="192">
        <f t="shared" ref="V75:AA75" si="41">SUM(V70:V74)</f>
        <v>40.323824999999999</v>
      </c>
      <c r="W75" s="192">
        <f t="shared" si="41"/>
        <v>0</v>
      </c>
      <c r="X75" s="192">
        <f t="shared" si="41"/>
        <v>0.91225000000000001</v>
      </c>
      <c r="Y75" s="192">
        <f t="shared" si="41"/>
        <v>5336.1861750000007</v>
      </c>
      <c r="Z75" s="192">
        <f t="shared" si="41"/>
        <v>0</v>
      </c>
      <c r="AA75" s="193">
        <f t="shared" si="41"/>
        <v>34.004905172413785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93.72</v>
      </c>
      <c r="Q78" s="137">
        <v>5.61</v>
      </c>
      <c r="R78" s="82">
        <v>7.4999999999999997E-3</v>
      </c>
      <c r="S78" s="194">
        <f>+(P78+Q78)*R78</f>
        <v>0.74497499999999994</v>
      </c>
      <c r="T78" s="246">
        <f>+(P78+Q78)-S78</f>
        <v>98.585025000000002</v>
      </c>
      <c r="U78" s="211">
        <v>86.63</v>
      </c>
      <c r="V78" s="112"/>
      <c r="W78" s="113">
        <v>1.4999999999999999E-2</v>
      </c>
      <c r="X78" s="196">
        <f>+(U78+V78)*W78</f>
        <v>1.29945</v>
      </c>
      <c r="Y78" s="246">
        <f>+(U78+V78)-X78</f>
        <v>85.330550000000002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222">
        <v>224.96</v>
      </c>
      <c r="Q79" s="137">
        <v>68.12</v>
      </c>
      <c r="R79" s="82">
        <v>7.4999999999999997E-3</v>
      </c>
      <c r="S79" s="194">
        <f t="shared" ref="S79:S97" si="43">+(P79+Q79)*R79</f>
        <v>2.1981000000000002</v>
      </c>
      <c r="T79" s="246">
        <f t="shared" ref="T79:T97" si="44">+(P79+Q79)-S79</f>
        <v>290.88190000000003</v>
      </c>
      <c r="U79" s="211">
        <v>185.44</v>
      </c>
      <c r="V79" s="112"/>
      <c r="W79" s="113">
        <v>1.4999999999999999E-2</v>
      </c>
      <c r="X79" s="196">
        <f t="shared" ref="X79:X97" si="45">+(U79+V79)*W79</f>
        <v>2.7816000000000001</v>
      </c>
      <c r="Y79" s="246">
        <f t="shared" ref="Y79:Y97" si="46">+(U79+V79)-X79</f>
        <v>182.6584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318.68</v>
      </c>
      <c r="Q98" s="195">
        <f>SUM(Q78:Q97)</f>
        <v>73.73</v>
      </c>
      <c r="R98" s="111"/>
      <c r="S98" s="195">
        <f>SUM(S78:S97)</f>
        <v>2.9430750000000003</v>
      </c>
      <c r="T98" s="195">
        <f>SUM(T78:T97)</f>
        <v>389.46692500000006</v>
      </c>
      <c r="U98" s="114">
        <f>SUM(U78:U97)</f>
        <v>272.07</v>
      </c>
      <c r="V98" s="114">
        <f>SUM(V78:V97)</f>
        <v>0</v>
      </c>
      <c r="W98" s="112"/>
      <c r="X98" s="197">
        <f>SUM(X78:X97)</f>
        <v>4.0810500000000003</v>
      </c>
      <c r="Y98" s="197">
        <f>SUM(Y78:Y97)</f>
        <v>267.98894999999999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185.95999999999998</v>
      </c>
    </row>
    <row r="103" spans="14:30" x14ac:dyDescent="0.25">
      <c r="N103" s="85"/>
      <c r="Q103" s="215">
        <f>P79+Q79+U79</f>
        <v>478.52000000000004</v>
      </c>
    </row>
    <row r="104" spans="14:30" x14ac:dyDescent="0.25">
      <c r="N104" s="85"/>
      <c r="Q104" s="215">
        <f>P80+U80+Q80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36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7"/>
      <c r="B1" s="281" t="s">
        <v>12</v>
      </c>
      <c r="C1" s="282"/>
      <c r="D1" s="282"/>
      <c r="E1" s="282"/>
      <c r="F1" s="282"/>
      <c r="G1" s="282"/>
      <c r="H1" s="282"/>
      <c r="I1" s="283"/>
    </row>
    <row r="2" spans="1:9" s="5" customFormat="1" ht="16.5" customHeight="1" x14ac:dyDescent="0.25">
      <c r="A2" s="277"/>
      <c r="B2" s="284" t="s">
        <v>148</v>
      </c>
      <c r="C2" s="285"/>
      <c r="D2" s="285"/>
      <c r="E2" s="285"/>
      <c r="F2" s="285"/>
      <c r="G2" s="285"/>
      <c r="H2" s="285"/>
      <c r="I2" s="286"/>
    </row>
    <row r="3" spans="1:9" s="5" customFormat="1" ht="16.5" customHeight="1" x14ac:dyDescent="0.25">
      <c r="A3" s="277"/>
      <c r="B3" s="280"/>
      <c r="C3" s="280"/>
      <c r="D3" s="280"/>
      <c r="E3" s="280"/>
      <c r="F3" s="280"/>
      <c r="G3" s="280"/>
      <c r="H3" s="280"/>
      <c r="I3" s="280"/>
    </row>
    <row r="4" spans="1:9" x14ac:dyDescent="0.25">
      <c r="B4" s="280"/>
      <c r="C4" s="280"/>
      <c r="D4" s="280"/>
      <c r="E4" s="280"/>
      <c r="F4" s="280"/>
      <c r="G4" s="280"/>
    </row>
    <row r="6" spans="1:9" ht="15.75" thickBot="1" x14ac:dyDescent="0.3"/>
    <row r="7" spans="1:9" x14ac:dyDescent="0.25">
      <c r="E7" s="278" t="s">
        <v>14</v>
      </c>
      <c r="F7" s="279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1'!G$46</f>
        <v>0</v>
      </c>
      <c r="C9" s="199">
        <f>+'DIA 1'!G$52</f>
        <v>0</v>
      </c>
      <c r="D9" s="203">
        <f>B9+C9</f>
        <v>0</v>
      </c>
      <c r="E9" s="204">
        <f>+'DIA 1'!K$46</f>
        <v>0</v>
      </c>
      <c r="F9" s="205">
        <f>+'DIA 1'!K$52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2'!G$46</f>
        <v>0</v>
      </c>
      <c r="C10" s="199">
        <f>'DIA 2'!G$52</f>
        <v>0</v>
      </c>
      <c r="D10" s="203">
        <f t="shared" ref="D10:D39" si="0">B10+C10</f>
        <v>0</v>
      </c>
      <c r="E10" s="199">
        <f>'DIA 2'!K$46</f>
        <v>0</v>
      </c>
      <c r="F10" s="199">
        <f>'DIA 2'!K$52</f>
        <v>0</v>
      </c>
      <c r="G10" s="206">
        <f t="shared" ref="G10:G39" si="1">B10-E10</f>
        <v>0</v>
      </c>
      <c r="H10" s="206">
        <f t="shared" ref="H10:H39" si="2">C10-F10</f>
        <v>0</v>
      </c>
    </row>
    <row r="11" spans="1:9" x14ac:dyDescent="0.25">
      <c r="A11" s="46">
        <f>'DIA 3'!B$6</f>
        <v>44745</v>
      </c>
      <c r="B11" s="199">
        <f>'DIA 3'!G$46</f>
        <v>0</v>
      </c>
      <c r="C11" s="199">
        <f>'DIA 3'!G$52</f>
        <v>0</v>
      </c>
      <c r="D11" s="203">
        <f t="shared" si="0"/>
        <v>0</v>
      </c>
      <c r="E11" s="199">
        <f>'DIA 3'!K$46</f>
        <v>0</v>
      </c>
      <c r="F11" s="199">
        <f>'DIA 3'!K$52</f>
        <v>0</v>
      </c>
      <c r="G11" s="206">
        <f t="shared" si="1"/>
        <v>0</v>
      </c>
      <c r="H11" s="206">
        <f t="shared" si="2"/>
        <v>0</v>
      </c>
    </row>
    <row r="12" spans="1:9" x14ac:dyDescent="0.25">
      <c r="A12" s="46">
        <f>'DIA 4'!B$6</f>
        <v>44746</v>
      </c>
      <c r="B12" s="199">
        <f>'DIA 4'!G$46</f>
        <v>0</v>
      </c>
      <c r="C12" s="199">
        <f>'DIA 4'!G$52</f>
        <v>0</v>
      </c>
      <c r="D12" s="203">
        <f t="shared" si="0"/>
        <v>0</v>
      </c>
      <c r="E12" s="199">
        <f>'DIA 4'!K$46</f>
        <v>0</v>
      </c>
      <c r="F12" s="199">
        <f>'DIA 4'!K$52</f>
        <v>0</v>
      </c>
      <c r="G12" s="206">
        <f t="shared" si="1"/>
        <v>0</v>
      </c>
      <c r="H12" s="206">
        <f t="shared" si="2"/>
        <v>0</v>
      </c>
    </row>
    <row r="13" spans="1:9" x14ac:dyDescent="0.25">
      <c r="A13" s="46">
        <f>'DIA 5'!B$6</f>
        <v>44747</v>
      </c>
      <c r="B13" s="199">
        <f>'DIA 5'!G$46</f>
        <v>0</v>
      </c>
      <c r="C13" s="199">
        <f>'DIA 5'!G$52</f>
        <v>0</v>
      </c>
      <c r="D13" s="203">
        <f t="shared" si="0"/>
        <v>0</v>
      </c>
      <c r="E13" s="199">
        <f>'DIA 5'!K$46</f>
        <v>0</v>
      </c>
      <c r="F13" s="199">
        <f>'DIA 5'!K$52</f>
        <v>0</v>
      </c>
      <c r="G13" s="206">
        <f t="shared" si="1"/>
        <v>0</v>
      </c>
      <c r="H13" s="206">
        <f t="shared" si="2"/>
        <v>0</v>
      </c>
    </row>
    <row r="14" spans="1:9" x14ac:dyDescent="0.25">
      <c r="A14" s="46">
        <f>'DIA 6'!B$6</f>
        <v>44748</v>
      </c>
      <c r="B14" s="199">
        <f>'DIA 6'!G$46</f>
        <v>0</v>
      </c>
      <c r="C14" s="199">
        <f>'DIA 6'!G$52</f>
        <v>0</v>
      </c>
      <c r="D14" s="203">
        <f t="shared" si="0"/>
        <v>0</v>
      </c>
      <c r="E14" s="199">
        <f>'DIA 6'!K$46</f>
        <v>0</v>
      </c>
      <c r="F14" s="199">
        <f>'DIA 6'!K$52</f>
        <v>0</v>
      </c>
      <c r="G14" s="206">
        <f t="shared" si="1"/>
        <v>0</v>
      </c>
      <c r="H14" s="206">
        <f t="shared" si="2"/>
        <v>0</v>
      </c>
    </row>
    <row r="15" spans="1:9" x14ac:dyDescent="0.25">
      <c r="A15" s="46">
        <f>'DIA 7'!B$6</f>
        <v>44749</v>
      </c>
      <c r="B15" s="199">
        <f>'DIA 7'!G$46</f>
        <v>0</v>
      </c>
      <c r="C15" s="199">
        <f>'DIA 7'!G$52</f>
        <v>0</v>
      </c>
      <c r="D15" s="203">
        <f t="shared" si="0"/>
        <v>0</v>
      </c>
      <c r="E15" s="199">
        <f>'DIA 7'!K$46</f>
        <v>0</v>
      </c>
      <c r="F15" s="199">
        <f>'DIA 7'!K$52</f>
        <v>0</v>
      </c>
      <c r="G15" s="206">
        <f t="shared" si="1"/>
        <v>0</v>
      </c>
      <c r="H15" s="206">
        <f t="shared" si="2"/>
        <v>0</v>
      </c>
    </row>
    <row r="16" spans="1:9" x14ac:dyDescent="0.25">
      <c r="A16" s="46">
        <f>'DIA 8'!B$6</f>
        <v>44750</v>
      </c>
      <c r="B16" s="199">
        <f>'DIA 8'!G$46</f>
        <v>0</v>
      </c>
      <c r="C16" s="199">
        <f>'DIA 8'!G$52</f>
        <v>0</v>
      </c>
      <c r="D16" s="203">
        <f t="shared" si="0"/>
        <v>0</v>
      </c>
      <c r="E16" s="199">
        <f>'DIA 8'!K$46</f>
        <v>0</v>
      </c>
      <c r="F16" s="199">
        <f>'DIA 8'!K$52</f>
        <v>0</v>
      </c>
      <c r="G16" s="206">
        <f t="shared" si="1"/>
        <v>0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0</v>
      </c>
      <c r="C17" s="199">
        <f>'DIA 9'!G$52</f>
        <v>0</v>
      </c>
      <c r="D17" s="203">
        <f t="shared" si="0"/>
        <v>0</v>
      </c>
      <c r="E17" s="199">
        <f>'DIA 9'!K$46</f>
        <v>0</v>
      </c>
      <c r="F17" s="199">
        <f>'DIA 9'!K$52</f>
        <v>0</v>
      </c>
      <c r="G17" s="206">
        <f t="shared" si="1"/>
        <v>0</v>
      </c>
      <c r="H17" s="206">
        <f t="shared" si="2"/>
        <v>0</v>
      </c>
    </row>
    <row r="18" spans="1:8" x14ac:dyDescent="0.25">
      <c r="A18" s="46">
        <f>'DIA 10'!B$6</f>
        <v>44752</v>
      </c>
      <c r="B18" s="199">
        <f>'DIA 10'!G$46</f>
        <v>0</v>
      </c>
      <c r="C18" s="199">
        <f>'DIA 10'!G$52</f>
        <v>0</v>
      </c>
      <c r="D18" s="203">
        <f t="shared" si="0"/>
        <v>0</v>
      </c>
      <c r="E18" s="199">
        <f>'DIA 10'!K$46</f>
        <v>0</v>
      </c>
      <c r="F18" s="199">
        <f>'DIA 10'!K$52</f>
        <v>0</v>
      </c>
      <c r="G18" s="206">
        <f t="shared" si="1"/>
        <v>0</v>
      </c>
      <c r="H18" s="206">
        <f t="shared" si="2"/>
        <v>0</v>
      </c>
    </row>
    <row r="19" spans="1:8" x14ac:dyDescent="0.25">
      <c r="A19" s="46">
        <f>'DIA 11'!B$6</f>
        <v>44753</v>
      </c>
      <c r="B19" s="199">
        <f>'DIA 11'!G$46</f>
        <v>0</v>
      </c>
      <c r="C19" s="199">
        <f>'DIA 11'!G$52</f>
        <v>0</v>
      </c>
      <c r="D19" s="203">
        <f t="shared" si="0"/>
        <v>0</v>
      </c>
      <c r="E19" s="199">
        <f>'DIA 11'!K$46</f>
        <v>0</v>
      </c>
      <c r="F19" s="199">
        <f>'DIA 11'!K$52</f>
        <v>0</v>
      </c>
      <c r="G19" s="206">
        <f t="shared" si="1"/>
        <v>0</v>
      </c>
      <c r="H19" s="206">
        <f t="shared" si="2"/>
        <v>0</v>
      </c>
    </row>
    <row r="20" spans="1:8" x14ac:dyDescent="0.25">
      <c r="A20" s="46">
        <f>'DIA 12'!B$6</f>
        <v>44754</v>
      </c>
      <c r="B20" s="199">
        <f>'DIA 12'!G$46</f>
        <v>0</v>
      </c>
      <c r="C20" s="199">
        <f>'DIA 12'!G$52</f>
        <v>0</v>
      </c>
      <c r="D20" s="203">
        <f t="shared" si="0"/>
        <v>0</v>
      </c>
      <c r="E20" s="199">
        <f>'DIA 12'!K$46</f>
        <v>0</v>
      </c>
      <c r="F20" s="199">
        <f>'DIA 12'!K$52</f>
        <v>0</v>
      </c>
      <c r="G20" s="206">
        <f t="shared" si="1"/>
        <v>0</v>
      </c>
      <c r="H20" s="206">
        <f t="shared" si="2"/>
        <v>0</v>
      </c>
    </row>
    <row r="21" spans="1:8" x14ac:dyDescent="0.25">
      <c r="A21" s="46">
        <f>'DIA 13'!B$6</f>
        <v>44755</v>
      </c>
      <c r="B21" s="199">
        <f>'DIA 13'!G$46</f>
        <v>0</v>
      </c>
      <c r="C21" s="199">
        <f>'DIA 13'!G$52</f>
        <v>0</v>
      </c>
      <c r="D21" s="203">
        <f t="shared" si="0"/>
        <v>0</v>
      </c>
      <c r="E21" s="199">
        <f>'DIA 13'!K$46</f>
        <v>0</v>
      </c>
      <c r="F21" s="199">
        <f>'DIA 13'!K$52</f>
        <v>0</v>
      </c>
      <c r="G21" s="206">
        <f t="shared" si="1"/>
        <v>0</v>
      </c>
      <c r="H21" s="206">
        <f t="shared" si="2"/>
        <v>0</v>
      </c>
    </row>
    <row r="22" spans="1:8" x14ac:dyDescent="0.25">
      <c r="A22" s="46">
        <f>'DIA 14'!B$6</f>
        <v>44756</v>
      </c>
      <c r="B22" s="199">
        <f>'DIA 14'!G$46</f>
        <v>0</v>
      </c>
      <c r="C22" s="199">
        <f>'DIA 14'!G$52</f>
        <v>0</v>
      </c>
      <c r="D22" s="203">
        <f t="shared" si="0"/>
        <v>0</v>
      </c>
      <c r="E22" s="199">
        <f>'DIA 14'!K$46</f>
        <v>0</v>
      </c>
      <c r="F22" s="199">
        <f>'DIA 14'!K$52</f>
        <v>0</v>
      </c>
      <c r="G22" s="206">
        <f t="shared" si="1"/>
        <v>0</v>
      </c>
      <c r="H22" s="206">
        <f t="shared" si="2"/>
        <v>0</v>
      </c>
    </row>
    <row r="23" spans="1:8" x14ac:dyDescent="0.25">
      <c r="A23" s="46">
        <f>'DIA 15'!B$6</f>
        <v>44757</v>
      </c>
      <c r="B23" s="199">
        <f>'DIA 15'!G$46</f>
        <v>0</v>
      </c>
      <c r="C23" s="199">
        <f>'DIA 15'!G$52</f>
        <v>0</v>
      </c>
      <c r="D23" s="203">
        <f t="shared" si="0"/>
        <v>0</v>
      </c>
      <c r="E23" s="199">
        <f>'DIA 15'!K$46</f>
        <v>0</v>
      </c>
      <c r="F23" s="199">
        <f>'DIA 15'!K$52</f>
        <v>0</v>
      </c>
      <c r="G23" s="206">
        <f t="shared" si="1"/>
        <v>0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0</v>
      </c>
      <c r="C24" s="199">
        <f>'DIA 16'!G$52</f>
        <v>0</v>
      </c>
      <c r="D24" s="203">
        <f t="shared" si="0"/>
        <v>0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0</v>
      </c>
    </row>
    <row r="25" spans="1:8" x14ac:dyDescent="0.25">
      <c r="A25" s="46">
        <f>'DIA 17'!B$6</f>
        <v>44759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44760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44761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44732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44764</v>
      </c>
      <c r="B30" s="199">
        <f>'DIA 22'!G$46</f>
        <v>0</v>
      </c>
      <c r="C30" s="199">
        <f>'DIA 22'!G$52</f>
        <v>0</v>
      </c>
      <c r="D30" s="203">
        <f t="shared" si="0"/>
        <v>0</v>
      </c>
      <c r="E30" s="199">
        <f>'DIA 22'!K$46</f>
        <v>0</v>
      </c>
      <c r="F30" s="199">
        <f>'DIA 22'!K$52</f>
        <v>0</v>
      </c>
      <c r="G30" s="206">
        <f t="shared" si="1"/>
        <v>0</v>
      </c>
      <c r="H30" s="206">
        <f t="shared" si="2"/>
        <v>0</v>
      </c>
    </row>
    <row r="31" spans="1:8" x14ac:dyDescent="0.25">
      <c r="A31" s="46">
        <f>'DIA 23'!B$6</f>
        <v>44765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44766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44767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44768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44769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44770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44771</v>
      </c>
      <c r="B37" s="199">
        <f>'DIA 29'!G$46</f>
        <v>1426.1728749999997</v>
      </c>
      <c r="C37" s="199">
        <f>'DIA 29'!G$52</f>
        <v>419.85667241379304</v>
      </c>
      <c r="D37" s="203">
        <f t="shared" si="0"/>
        <v>1846.0295474137929</v>
      </c>
      <c r="E37" s="199">
        <f>'DIA 29'!K$46</f>
        <v>0</v>
      </c>
      <c r="F37" s="199">
        <f>'DIA 29'!K$52</f>
        <v>0</v>
      </c>
      <c r="G37" s="206">
        <f t="shared" si="1"/>
        <v>1426.1728749999997</v>
      </c>
      <c r="H37" s="206">
        <f t="shared" si="2"/>
        <v>419.85667241379304</v>
      </c>
    </row>
    <row r="38" spans="1:8" x14ac:dyDescent="0.25">
      <c r="A38" s="46">
        <f>'DIA 30'!B$6</f>
        <v>44772</v>
      </c>
      <c r="B38" s="199">
        <f>'DIA 30'!G$46</f>
        <v>724.495225</v>
      </c>
      <c r="C38" s="199">
        <f>'DIA 30'!G$52</f>
        <v>128.74150862068964</v>
      </c>
      <c r="D38" s="203">
        <f t="shared" si="0"/>
        <v>853.23673362068962</v>
      </c>
      <c r="E38" s="199">
        <f>'DIA 30'!K$46</f>
        <v>0</v>
      </c>
      <c r="F38" s="199">
        <f>'DIA 30'!K$52</f>
        <v>0</v>
      </c>
      <c r="G38" s="206">
        <f t="shared" si="1"/>
        <v>724.495225</v>
      </c>
      <c r="H38" s="206">
        <f t="shared" si="2"/>
        <v>128.74150862068964</v>
      </c>
    </row>
    <row r="39" spans="1:8" x14ac:dyDescent="0.25">
      <c r="A39" s="46">
        <f>'DIA 31'!B$6</f>
        <v>44773</v>
      </c>
      <c r="B39" s="199">
        <f>'DIA 31'!G$46</f>
        <v>935.27245000000016</v>
      </c>
      <c r="C39" s="199">
        <f>'DIA 31'!G$52</f>
        <v>26.465862068965514</v>
      </c>
      <c r="D39" s="203">
        <f t="shared" si="0"/>
        <v>961.73831206896568</v>
      </c>
      <c r="E39" s="199">
        <f>'DIA 31'!K$46</f>
        <v>0</v>
      </c>
      <c r="F39" s="199">
        <f>'DIA 31'!K$52</f>
        <v>0</v>
      </c>
      <c r="G39" s="206">
        <f t="shared" si="1"/>
        <v>935.27245000000016</v>
      </c>
      <c r="H39" s="206">
        <f t="shared" si="2"/>
        <v>26.465862068965514</v>
      </c>
    </row>
    <row r="40" spans="1:8" x14ac:dyDescent="0.25">
      <c r="A40" s="53" t="s">
        <v>38</v>
      </c>
      <c r="B40" s="133">
        <f>SUM(B9:B39)</f>
        <v>3085.9405500000003</v>
      </c>
      <c r="C40" s="133">
        <f>SUM(C9:C38)</f>
        <v>548.59818103448265</v>
      </c>
      <c r="D40" s="133">
        <f>SUM(D9:D38)</f>
        <v>2699.2662810344827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44754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5.62</v>
      </c>
      <c r="C8" s="85" t="s">
        <v>94</v>
      </c>
      <c r="D8" s="108"/>
    </row>
    <row r="9" spans="1:28" x14ac:dyDescent="0.25">
      <c r="A9" s="7" t="s">
        <v>78</v>
      </c>
      <c r="B9" s="108">
        <v>5.6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5.61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722.5</v>
      </c>
      <c r="C12" s="15"/>
      <c r="D12" s="56"/>
      <c r="E12" s="16"/>
      <c r="F12" s="56"/>
      <c r="G12" s="56"/>
      <c r="H12" s="17"/>
      <c r="I12" s="83">
        <v>722.5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120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674.4</v>
      </c>
      <c r="C14" s="15"/>
      <c r="D14" s="56"/>
      <c r="E14" s="16"/>
      <c r="F14" s="56"/>
      <c r="G14" s="56"/>
      <c r="H14" s="17"/>
      <c r="I14" s="83"/>
      <c r="J14" s="81">
        <f t="shared" si="0"/>
        <v>674.4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209</v>
      </c>
      <c r="C15" s="15"/>
      <c r="D15" s="56"/>
      <c r="E15" s="16"/>
      <c r="F15" s="56"/>
      <c r="G15" s="56"/>
      <c r="H15" s="17"/>
      <c r="I15" s="83"/>
      <c r="J15" s="81">
        <f t="shared" si="0"/>
        <v>209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1170.3999999999999</v>
      </c>
      <c r="C16" s="15"/>
      <c r="D16" s="56"/>
      <c r="E16" s="16"/>
      <c r="F16" s="56"/>
      <c r="G16" s="56"/>
      <c r="H16" s="17"/>
      <c r="I16" s="83"/>
      <c r="J16" s="81">
        <f t="shared" si="0"/>
        <v>1170.3999999999999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19</v>
      </c>
      <c r="C17" s="15"/>
      <c r="D17" s="56"/>
      <c r="E17" s="16"/>
      <c r="F17" s="56"/>
      <c r="G17" s="56"/>
      <c r="H17" s="17"/>
      <c r="I17" s="83"/>
      <c r="J17" s="81">
        <f t="shared" si="0"/>
        <v>19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106.59</v>
      </c>
      <c r="C18" s="15"/>
      <c r="D18" s="56"/>
      <c r="E18" s="16"/>
      <c r="F18" s="56"/>
      <c r="G18" s="56"/>
      <c r="H18" s="17"/>
      <c r="I18" s="83"/>
      <c r="J18" s="81">
        <f t="shared" si="0"/>
        <v>106.59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348</v>
      </c>
      <c r="C19" s="95"/>
      <c r="D19" s="94"/>
      <c r="E19" s="96"/>
      <c r="F19" s="94"/>
      <c r="G19" s="94"/>
      <c r="H19" s="98"/>
      <c r="I19" s="99">
        <v>348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1951.3899999999996</v>
      </c>
      <c r="C20" s="95"/>
      <c r="D20" s="94"/>
      <c r="E20" s="96"/>
      <c r="F20" s="94"/>
      <c r="G20" s="94"/>
      <c r="H20" s="98"/>
      <c r="I20" s="99">
        <v>1976.64</v>
      </c>
      <c r="J20" s="185">
        <f t="shared" si="0"/>
        <v>-25.250000000000455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44755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3990.16</v>
      </c>
      <c r="C49" s="116">
        <v>7.4999999999999997E-3</v>
      </c>
      <c r="D49" s="117">
        <f t="shared" si="17"/>
        <v>29.926199999999998</v>
      </c>
      <c r="E49" s="172">
        <v>0</v>
      </c>
      <c r="F49" s="117">
        <f t="shared" si="15"/>
        <v>0</v>
      </c>
      <c r="G49" s="117">
        <f t="shared" si="16"/>
        <v>3960.2338</v>
      </c>
      <c r="H49" s="173">
        <f t="shared" si="19"/>
        <v>44755</v>
      </c>
      <c r="I49" s="219">
        <f>400.45+3589.71</f>
        <v>3990.16</v>
      </c>
      <c r="J49" s="81">
        <f t="shared" si="0"/>
        <v>0</v>
      </c>
      <c r="K49" s="80">
        <v>3960.23</v>
      </c>
      <c r="L49" s="186">
        <f t="shared" si="18"/>
        <v>3.7999999999556167E-3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152.52000000000001</v>
      </c>
      <c r="C50" s="116">
        <v>7.4999999999999997E-3</v>
      </c>
      <c r="D50" s="117">
        <f t="shared" si="17"/>
        <v>1.1439000000000001</v>
      </c>
      <c r="E50" s="172">
        <v>0</v>
      </c>
      <c r="F50" s="117">
        <f t="shared" si="15"/>
        <v>0</v>
      </c>
      <c r="G50" s="117">
        <f t="shared" si="16"/>
        <v>151.37610000000001</v>
      </c>
      <c r="H50" s="173">
        <f t="shared" si="19"/>
        <v>44755</v>
      </c>
      <c r="I50" s="175"/>
      <c r="J50" s="81">
        <f t="shared" si="0"/>
        <v>152.52000000000001</v>
      </c>
      <c r="K50" s="80"/>
      <c r="L50" s="186">
        <f t="shared" si="18"/>
        <v>151.37610000000001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444.53000000000003</v>
      </c>
      <c r="C51" s="116">
        <v>1.4999999999999999E-2</v>
      </c>
      <c r="D51" s="117">
        <f>+B51*C51</f>
        <v>6.6679500000000003</v>
      </c>
      <c r="E51" s="172">
        <v>0</v>
      </c>
      <c r="F51" s="117">
        <f>D51*E51</f>
        <v>0</v>
      </c>
      <c r="G51" s="117">
        <f t="shared" si="16"/>
        <v>437.86205000000001</v>
      </c>
      <c r="H51" s="173">
        <f t="shared" si="19"/>
        <v>44755</v>
      </c>
      <c r="I51" s="175">
        <v>597.04999999999995</v>
      </c>
      <c r="J51" s="81">
        <f t="shared" si="0"/>
        <v>-152.51999999999992</v>
      </c>
      <c r="K51" s="80"/>
      <c r="L51" s="186">
        <f t="shared" si="18"/>
        <v>437.86205000000001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242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39.85</v>
      </c>
      <c r="C56" s="116">
        <v>2.5000000000000001E-2</v>
      </c>
      <c r="D56" s="117">
        <f t="shared" si="20"/>
        <v>0.99625000000000008</v>
      </c>
      <c r="E56" s="172">
        <v>0.05</v>
      </c>
      <c r="F56" s="117">
        <f t="shared" si="21"/>
        <v>1.7176724137931036</v>
      </c>
      <c r="G56" s="117">
        <f t="shared" si="22"/>
        <v>37.136077586206895</v>
      </c>
      <c r="H56" s="173">
        <f t="shared" si="19"/>
        <v>44755</v>
      </c>
      <c r="I56" s="219">
        <f>8+31.85</f>
        <v>39.85</v>
      </c>
      <c r="J56" s="81">
        <f t="shared" si="0"/>
        <v>0</v>
      </c>
      <c r="K56" s="80">
        <v>37.14</v>
      </c>
      <c r="L56" s="186">
        <f t="shared" si="18"/>
        <v>-3.9224137931057612E-3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 t="s">
        <v>166</v>
      </c>
      <c r="T59" s="155"/>
      <c r="U59" s="189">
        <f t="shared" si="9"/>
        <v>0</v>
      </c>
      <c r="V59" s="189">
        <f t="shared" si="10"/>
        <v>0</v>
      </c>
      <c r="W59" s="189" t="e">
        <f t="shared" si="11"/>
        <v>#VALUE!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38.734299999999998</v>
      </c>
      <c r="E61" s="177"/>
      <c r="F61" s="57">
        <f>SUM(F46:F58)</f>
        <v>1.7176724137931036</v>
      </c>
      <c r="G61" s="57">
        <f>SUM(G46:G58)</f>
        <v>4586.6080275862068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4586.6080275862068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 t="e">
        <f t="shared" si="25"/>
        <v>#VALUE!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9173.2160551724137</v>
      </c>
      <c r="H64" s="184"/>
      <c r="I64" s="175"/>
      <c r="J64" s="81">
        <f t="shared" si="0"/>
        <v>0</v>
      </c>
      <c r="K64" s="80"/>
      <c r="L64" s="186">
        <f t="shared" si="18"/>
        <v>9173.2160551724137</v>
      </c>
      <c r="M64" s="130"/>
      <c r="N64" s="87">
        <v>1</v>
      </c>
      <c r="O64" s="122" t="s">
        <v>208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7300.95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7243.17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249">
        <v>7298.66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251">
        <f>B69-B68</f>
        <v>55.489999999999782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216</v>
      </c>
      <c r="Q70" s="228">
        <v>2001</v>
      </c>
      <c r="R70" s="255">
        <v>25.3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0.18975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25.110250000000001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2.2899999999999636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 t="s">
        <v>257</v>
      </c>
      <c r="Q71" s="228">
        <v>1001</v>
      </c>
      <c r="R71" s="255">
        <f>344.69+30.46</f>
        <v>375.15</v>
      </c>
      <c r="S71" s="228"/>
      <c r="T71" s="255">
        <v>8</v>
      </c>
      <c r="U71" s="189">
        <f t="shared" si="34"/>
        <v>0.34482758620689657</v>
      </c>
      <c r="V71" s="189">
        <f t="shared" si="35"/>
        <v>2.8136249999999996</v>
      </c>
      <c r="W71" s="189">
        <f t="shared" si="36"/>
        <v>0</v>
      </c>
      <c r="X71" s="189">
        <f t="shared" si="37"/>
        <v>0.2</v>
      </c>
      <c r="Y71" s="189">
        <f t="shared" si="38"/>
        <v>372.33637499999998</v>
      </c>
      <c r="Z71" s="189">
        <f t="shared" si="38"/>
        <v>0</v>
      </c>
      <c r="AA71" s="189">
        <f t="shared" si="39"/>
        <v>7.455172413793103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258</v>
      </c>
      <c r="Q72" s="228">
        <v>2003</v>
      </c>
      <c r="R72" s="255">
        <f>139.99+1582.96</f>
        <v>1722.95</v>
      </c>
      <c r="S72" s="228"/>
      <c r="T72" s="228"/>
      <c r="U72" s="189">
        <f t="shared" si="34"/>
        <v>0</v>
      </c>
      <c r="V72" s="189">
        <f t="shared" si="35"/>
        <v>12.922124999999999</v>
      </c>
      <c r="W72" s="189">
        <f t="shared" si="36"/>
        <v>0</v>
      </c>
      <c r="X72" s="189">
        <f t="shared" si="37"/>
        <v>0</v>
      </c>
      <c r="Y72" s="189">
        <f t="shared" si="38"/>
        <v>1710.027875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256</v>
      </c>
      <c r="Q73" s="228">
        <v>2003</v>
      </c>
      <c r="R73" s="255">
        <f>323.52+888.37</f>
        <v>1211.8899999999999</v>
      </c>
      <c r="S73" s="228"/>
      <c r="T73" s="228"/>
      <c r="U73" s="189">
        <f t="shared" si="34"/>
        <v>0</v>
      </c>
      <c r="V73" s="189">
        <f t="shared" si="35"/>
        <v>9.0891749999999991</v>
      </c>
      <c r="W73" s="189">
        <f t="shared" si="36"/>
        <v>0</v>
      </c>
      <c r="X73" s="189">
        <f t="shared" si="37"/>
        <v>0</v>
      </c>
      <c r="Y73" s="189">
        <f t="shared" si="38"/>
        <v>1202.8008249999998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255</v>
      </c>
      <c r="Q74" s="228">
        <v>2002</v>
      </c>
      <c r="R74" s="255">
        <v>654.87</v>
      </c>
      <c r="S74" s="228"/>
      <c r="T74" s="256">
        <v>31.85</v>
      </c>
      <c r="U74" s="189">
        <f t="shared" si="34"/>
        <v>1.3728448275862073</v>
      </c>
      <c r="V74" s="189">
        <f t="shared" si="35"/>
        <v>4.9115250000000001</v>
      </c>
      <c r="W74" s="189">
        <f t="shared" si="36"/>
        <v>0</v>
      </c>
      <c r="X74" s="189">
        <f t="shared" si="37"/>
        <v>0.79625000000000012</v>
      </c>
      <c r="Y74" s="189">
        <f t="shared" si="38"/>
        <v>649.95847500000002</v>
      </c>
      <c r="Z74" s="189">
        <f t="shared" si="38"/>
        <v>0</v>
      </c>
      <c r="AA74" s="189">
        <f t="shared" si="39"/>
        <v>29.680905172413794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3990.16</v>
      </c>
      <c r="S75" s="192"/>
      <c r="T75" s="192">
        <f>SUM(T70:T74)</f>
        <v>39.85</v>
      </c>
      <c r="U75" s="192">
        <f>SUM(U70:U74)</f>
        <v>1.7176724137931039</v>
      </c>
      <c r="V75" s="192">
        <f t="shared" ref="V75:AA75" si="41">SUM(V70:V74)</f>
        <v>29.926199999999998</v>
      </c>
      <c r="W75" s="192">
        <f t="shared" si="41"/>
        <v>0</v>
      </c>
      <c r="X75" s="192">
        <f t="shared" si="41"/>
        <v>0.99625000000000008</v>
      </c>
      <c r="Y75" s="192">
        <f t="shared" si="41"/>
        <v>3960.2337999999995</v>
      </c>
      <c r="Z75" s="192">
        <f t="shared" si="41"/>
        <v>0</v>
      </c>
      <c r="AA75" s="193">
        <f t="shared" si="41"/>
        <v>37.136077586206895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B77" s="85">
        <v>8.74</v>
      </c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19.68</v>
      </c>
      <c r="Q78" s="137"/>
      <c r="R78" s="82">
        <v>7.4999999999999997E-3</v>
      </c>
      <c r="S78" s="194">
        <f>+(P78+Q78)*R78</f>
        <v>0.14759999999999998</v>
      </c>
      <c r="T78" s="219">
        <f>+(P78+Q78)-S78</f>
        <v>19.532399999999999</v>
      </c>
      <c r="U78" s="211">
        <v>203.55</v>
      </c>
      <c r="V78" s="112"/>
      <c r="W78" s="113">
        <v>1.4999999999999999E-2</v>
      </c>
      <c r="X78" s="196">
        <f>+(U78+V78)*W78</f>
        <v>3.0532500000000002</v>
      </c>
      <c r="Y78" s="217">
        <f>+(U78+V78)-X78</f>
        <v>200.49675000000002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>
        <v>16.86</v>
      </c>
      <c r="V79" s="112"/>
      <c r="W79" s="113">
        <v>1.4999999999999999E-2</v>
      </c>
      <c r="X79" s="196">
        <f t="shared" ref="X79:X97" si="45">+(U79+V79)*W79</f>
        <v>0.25289999999999996</v>
      </c>
      <c r="Y79" s="217">
        <f t="shared" ref="Y79:Y97" si="46">+(U79+V79)-X79</f>
        <v>16.607099999999999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64.25</v>
      </c>
      <c r="Q80" s="137">
        <v>68.59</v>
      </c>
      <c r="R80" s="82">
        <v>7.4999999999999997E-3</v>
      </c>
      <c r="S80" s="194">
        <f t="shared" si="43"/>
        <v>0.99629999999999996</v>
      </c>
      <c r="T80" s="219">
        <f t="shared" si="44"/>
        <v>131.84370000000001</v>
      </c>
      <c r="U80" s="211">
        <v>224.12</v>
      </c>
      <c r="V80" s="112"/>
      <c r="W80" s="113">
        <v>1.4999999999999999E-2</v>
      </c>
      <c r="X80" s="196">
        <f t="shared" si="45"/>
        <v>3.3618000000000001</v>
      </c>
      <c r="Y80" s="217">
        <f t="shared" si="46"/>
        <v>220.75820000000002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83.93</v>
      </c>
      <c r="Q98" s="195">
        <f>SUM(Q78:Q97)</f>
        <v>68.59</v>
      </c>
      <c r="R98" s="111"/>
      <c r="S98" s="195">
        <f>SUM(S78:S97)</f>
        <v>1.1438999999999999</v>
      </c>
      <c r="T98" s="195">
        <f>SUM(T78:T97)</f>
        <v>151.37610000000001</v>
      </c>
      <c r="U98" s="114">
        <f>SUM(U78:U97)</f>
        <v>444.53000000000003</v>
      </c>
      <c r="V98" s="114">
        <f>SUM(V78:V97)</f>
        <v>0</v>
      </c>
      <c r="W98" s="112"/>
      <c r="X98" s="197">
        <f>SUM(X78:X97)</f>
        <v>6.6679500000000003</v>
      </c>
      <c r="Y98" s="197">
        <f>SUM(Y78:Y97)</f>
        <v>437.86205000000007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223.23000000000002</v>
      </c>
    </row>
    <row r="102" spans="14:30" x14ac:dyDescent="0.25">
      <c r="N102" s="85"/>
      <c r="Q102" s="215">
        <f t="shared" ref="Q102:Q106" si="50">P79+Q79+U79</f>
        <v>16.86</v>
      </c>
    </row>
    <row r="103" spans="14:30" x14ac:dyDescent="0.25">
      <c r="N103" s="85"/>
      <c r="Q103" s="215">
        <f>P80+Q80+U80</f>
        <v>356.96000000000004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5.62</v>
      </c>
      <c r="C8" s="85" t="s">
        <v>94</v>
      </c>
      <c r="D8" s="108"/>
    </row>
    <row r="9" spans="1:28" x14ac:dyDescent="0.25">
      <c r="A9" s="7" t="s">
        <v>78</v>
      </c>
      <c r="B9" s="108">
        <v>5.66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820</v>
      </c>
      <c r="C12" s="15"/>
      <c r="D12" s="56"/>
      <c r="E12" s="16"/>
      <c r="F12" s="56"/>
      <c r="G12" s="56"/>
      <c r="H12" s="17"/>
      <c r="I12" s="83">
        <v>820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182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1022.84</v>
      </c>
      <c r="C14" s="15"/>
      <c r="D14" s="56"/>
      <c r="E14" s="16"/>
      <c r="F14" s="56"/>
      <c r="G14" s="56"/>
      <c r="H14" s="17"/>
      <c r="I14" s="83"/>
      <c r="J14" s="81">
        <f t="shared" si="0"/>
        <v>1022.84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233</v>
      </c>
      <c r="C15" s="15"/>
      <c r="D15" s="56"/>
      <c r="E15" s="16"/>
      <c r="F15" s="56"/>
      <c r="G15" s="56"/>
      <c r="H15" s="17"/>
      <c r="I15" s="83"/>
      <c r="J15" s="81">
        <f t="shared" si="0"/>
        <v>233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1318.78</v>
      </c>
      <c r="C16" s="15"/>
      <c r="D16" s="56"/>
      <c r="E16" s="16"/>
      <c r="F16" s="56"/>
      <c r="G16" s="56"/>
      <c r="H16" s="17"/>
      <c r="I16" s="83"/>
      <c r="J16" s="81">
        <f t="shared" si="0"/>
        <v>1318.78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415</v>
      </c>
      <c r="C19" s="95"/>
      <c r="D19" s="94"/>
      <c r="E19" s="96"/>
      <c r="F19" s="94"/>
      <c r="G19" s="94"/>
      <c r="H19" s="98"/>
      <c r="I19" s="99">
        <v>415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2341.62</v>
      </c>
      <c r="C20" s="95"/>
      <c r="D20" s="94"/>
      <c r="E20" s="96"/>
      <c r="F20" s="94"/>
      <c r="G20" s="94"/>
      <c r="H20" s="98"/>
      <c r="I20" s="99">
        <v>2357.1999999999998</v>
      </c>
      <c r="J20" s="185">
        <f t="shared" si="0"/>
        <v>-15.579999999999927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K35-B35:B35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44756</v>
      </c>
      <c r="I48" s="176">
        <v>1.74</v>
      </c>
      <c r="J48" s="81">
        <f t="shared" si="0"/>
        <v>-1.74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194</v>
      </c>
      <c r="B49" s="117">
        <f>R75</f>
        <v>4056.07</v>
      </c>
      <c r="C49" s="116">
        <v>7.4999999999999997E-3</v>
      </c>
      <c r="D49" s="117">
        <f t="shared" si="17"/>
        <v>30.420525000000001</v>
      </c>
      <c r="E49" s="172">
        <v>0</v>
      </c>
      <c r="F49" s="117">
        <f t="shared" si="15"/>
        <v>0</v>
      </c>
      <c r="G49" s="117">
        <f t="shared" si="16"/>
        <v>4025.6494750000002</v>
      </c>
      <c r="H49" s="173">
        <f t="shared" si="19"/>
        <v>44756</v>
      </c>
      <c r="I49" s="219">
        <f>326.88+3729.69</f>
        <v>4056.57</v>
      </c>
      <c r="J49" s="81">
        <f t="shared" si="0"/>
        <v>-0.5</v>
      </c>
      <c r="K49" s="80">
        <v>4025.65</v>
      </c>
      <c r="L49" s="186">
        <f t="shared" si="18"/>
        <v>-5.2499999992505764E-4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96.62</v>
      </c>
      <c r="C50" s="116">
        <v>7.4999999999999997E-3</v>
      </c>
      <c r="D50" s="117">
        <f t="shared" si="17"/>
        <v>0.72465000000000002</v>
      </c>
      <c r="E50" s="172">
        <v>0</v>
      </c>
      <c r="F50" s="117">
        <f t="shared" si="15"/>
        <v>0</v>
      </c>
      <c r="G50" s="117">
        <f t="shared" si="16"/>
        <v>95.895350000000008</v>
      </c>
      <c r="H50" s="173">
        <f t="shared" si="19"/>
        <v>44756</v>
      </c>
      <c r="I50" s="175"/>
      <c r="J50" s="81">
        <f t="shared" si="0"/>
        <v>96.62</v>
      </c>
      <c r="K50" s="80">
        <v>95.9</v>
      </c>
      <c r="L50" s="186">
        <f t="shared" si="18"/>
        <v>-4.6499999999980446E-3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479.1</v>
      </c>
      <c r="C51" s="116">
        <v>1.4999999999999999E-2</v>
      </c>
      <c r="D51" s="117">
        <f>+B51*C51</f>
        <v>7.1864999999999997</v>
      </c>
      <c r="E51" s="172">
        <v>0</v>
      </c>
      <c r="F51" s="117">
        <f>D51*E51</f>
        <v>0</v>
      </c>
      <c r="G51" s="117">
        <f t="shared" si="16"/>
        <v>471.9135</v>
      </c>
      <c r="H51" s="173">
        <f t="shared" si="19"/>
        <v>44756</v>
      </c>
      <c r="I51" s="175">
        <v>575.72</v>
      </c>
      <c r="J51" s="81">
        <f t="shared" si="0"/>
        <v>-96.62</v>
      </c>
      <c r="K51" s="80">
        <v>471.91</v>
      </c>
      <c r="L51" s="186">
        <f t="shared" si="18"/>
        <v>3.4999999999740794E-3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11.61</v>
      </c>
      <c r="C56" s="116">
        <v>2.5000000000000001E-2</v>
      </c>
      <c r="D56" s="117">
        <f t="shared" si="20"/>
        <v>0.29025000000000001</v>
      </c>
      <c r="E56" s="172">
        <v>0.05</v>
      </c>
      <c r="F56" s="117">
        <f t="shared" si="21"/>
        <v>0.50043103448275861</v>
      </c>
      <c r="G56" s="117">
        <f t="shared" si="22"/>
        <v>10.81931896551724</v>
      </c>
      <c r="H56" s="173">
        <f t="shared" si="19"/>
        <v>44756</v>
      </c>
      <c r="I56" s="176">
        <v>11.61</v>
      </c>
      <c r="J56" s="81">
        <f t="shared" si="0"/>
        <v>0</v>
      </c>
      <c r="K56" s="80">
        <v>10.82</v>
      </c>
      <c r="L56" s="186">
        <f t="shared" si="18"/>
        <v>-6.8103448275991241E-4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38.621925000000005</v>
      </c>
      <c r="E61" s="177"/>
      <c r="F61" s="57">
        <f>SUM(F46:F58)</f>
        <v>0.50043103448275861</v>
      </c>
      <c r="G61" s="57">
        <f>SUM(G46:G58)</f>
        <v>4604.2776439655172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4604.2776439655172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9208.5552879310344</v>
      </c>
      <c r="H64" s="184"/>
      <c r="I64" s="175"/>
      <c r="J64" s="81">
        <f t="shared" si="0"/>
        <v>0</v>
      </c>
      <c r="K64" s="80"/>
      <c r="L64" s="186">
        <f t="shared" si="18"/>
        <v>9208.5552879310344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7805.02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7737.36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7797.3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-59.940000000000509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>
        <v>239</v>
      </c>
      <c r="Q70" s="228">
        <v>2001</v>
      </c>
      <c r="R70" s="255">
        <v>326.38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2.4478499999999999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323.93214999999998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7.7200000000002547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259</v>
      </c>
      <c r="Q72" s="228">
        <v>2003</v>
      </c>
      <c r="R72" s="255">
        <f>61.09+717.57</f>
        <v>778.66000000000008</v>
      </c>
      <c r="S72" s="228"/>
      <c r="T72" s="228"/>
      <c r="U72" s="189">
        <f t="shared" si="34"/>
        <v>0</v>
      </c>
      <c r="V72" s="189">
        <f t="shared" si="35"/>
        <v>5.83995</v>
      </c>
      <c r="W72" s="189">
        <f t="shared" si="36"/>
        <v>0</v>
      </c>
      <c r="X72" s="189">
        <f t="shared" si="37"/>
        <v>0</v>
      </c>
      <c r="Y72" s="189">
        <f t="shared" si="38"/>
        <v>772.82005000000004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260</v>
      </c>
      <c r="Q73" s="228">
        <v>2003</v>
      </c>
      <c r="R73" s="255">
        <f>343.5+865.69</f>
        <v>1209.19</v>
      </c>
      <c r="S73" s="228"/>
      <c r="T73" s="256">
        <v>11.61</v>
      </c>
      <c r="U73" s="189">
        <f t="shared" si="34"/>
        <v>0.50043103448275861</v>
      </c>
      <c r="V73" s="189">
        <f t="shared" si="35"/>
        <v>9.0689250000000001</v>
      </c>
      <c r="W73" s="189">
        <f t="shared" si="36"/>
        <v>0</v>
      </c>
      <c r="X73" s="189">
        <f t="shared" si="37"/>
        <v>0.29025000000000001</v>
      </c>
      <c r="Y73" s="189">
        <f t="shared" si="38"/>
        <v>1200.121075</v>
      </c>
      <c r="Z73" s="189">
        <f t="shared" si="38"/>
        <v>0</v>
      </c>
      <c r="AA73" s="189">
        <f t="shared" si="39"/>
        <v>10.81931896551724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 t="s">
        <v>261</v>
      </c>
      <c r="Q74" s="228">
        <v>2002</v>
      </c>
      <c r="R74" s="255">
        <f>422.96+1318.88</f>
        <v>1741.8400000000001</v>
      </c>
      <c r="S74" s="228"/>
      <c r="T74" s="228"/>
      <c r="U74" s="189">
        <f t="shared" si="34"/>
        <v>0</v>
      </c>
      <c r="V74" s="189">
        <f t="shared" si="35"/>
        <v>13.063800000000001</v>
      </c>
      <c r="W74" s="189">
        <f t="shared" si="36"/>
        <v>0</v>
      </c>
      <c r="X74" s="189">
        <f t="shared" si="37"/>
        <v>0</v>
      </c>
      <c r="Y74" s="189">
        <f t="shared" si="38"/>
        <v>1728.7762000000002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4056.07</v>
      </c>
      <c r="S75" s="192"/>
      <c r="T75" s="192">
        <f>SUM(T70:T74)</f>
        <v>11.61</v>
      </c>
      <c r="U75" s="192">
        <f>SUM(U70:U74)</f>
        <v>0.50043103448275861</v>
      </c>
      <c r="V75" s="192">
        <f t="shared" ref="V75:AA75" si="41">SUM(V70:V74)</f>
        <v>30.420525000000001</v>
      </c>
      <c r="W75" s="192">
        <f t="shared" si="41"/>
        <v>0</v>
      </c>
      <c r="X75" s="192">
        <f t="shared" si="41"/>
        <v>0.29025000000000001</v>
      </c>
      <c r="Y75" s="192">
        <f t="shared" si="41"/>
        <v>4025.6494750000002</v>
      </c>
      <c r="Z75" s="192">
        <f t="shared" si="41"/>
        <v>0</v>
      </c>
      <c r="AA75" s="193">
        <f t="shared" si="41"/>
        <v>10.81931896551724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95.9</v>
      </c>
      <c r="N79" s="87">
        <v>2</v>
      </c>
      <c r="O79" s="87" t="s">
        <v>112</v>
      </c>
      <c r="P79" s="137">
        <v>7.17</v>
      </c>
      <c r="Q79" s="137"/>
      <c r="R79" s="82">
        <v>7.4999999999999997E-3</v>
      </c>
      <c r="S79" s="194">
        <f t="shared" ref="S79:S97" si="43">+(P79+Q79)*R79</f>
        <v>5.3774999999999996E-2</v>
      </c>
      <c r="T79" s="246">
        <f t="shared" ref="T79:T97" si="44">+(P79+Q79)-S79</f>
        <v>7.116225</v>
      </c>
      <c r="U79" s="211">
        <v>141.80000000000001</v>
      </c>
      <c r="V79" s="112"/>
      <c r="W79" s="113">
        <v>1.4999999999999999E-2</v>
      </c>
      <c r="X79" s="196">
        <f t="shared" ref="X79:X97" si="45">+(U79+V79)*W79</f>
        <v>2.1270000000000002</v>
      </c>
      <c r="Y79" s="213">
        <f t="shared" ref="Y79:Y97" si="46">+(U79+V79)-X79</f>
        <v>139.673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38.369999999999997</v>
      </c>
      <c r="Q80" s="137"/>
      <c r="R80" s="82">
        <v>7.4999999999999997E-3</v>
      </c>
      <c r="S80" s="194">
        <f t="shared" si="43"/>
        <v>0.28777499999999995</v>
      </c>
      <c r="T80" s="246">
        <f t="shared" si="44"/>
        <v>38.082224999999994</v>
      </c>
      <c r="U80" s="211">
        <v>75.63</v>
      </c>
      <c r="V80" s="112"/>
      <c r="W80" s="113">
        <v>1.4999999999999999E-2</v>
      </c>
      <c r="X80" s="196">
        <f t="shared" si="45"/>
        <v>1.13445</v>
      </c>
      <c r="Y80" s="213">
        <f t="shared" si="46"/>
        <v>74.495549999999994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95.9</v>
      </c>
      <c r="N81" s="87">
        <v>4</v>
      </c>
      <c r="O81" s="87" t="s">
        <v>112</v>
      </c>
      <c r="P81" s="87">
        <v>17.34</v>
      </c>
      <c r="Q81" s="137"/>
      <c r="R81" s="82">
        <v>7.4999999999999997E-3</v>
      </c>
      <c r="S81" s="194">
        <f t="shared" si="43"/>
        <v>0.13005</v>
      </c>
      <c r="T81" s="258">
        <f t="shared" si="44"/>
        <v>17.209949999999999</v>
      </c>
      <c r="U81" s="211">
        <v>119.02</v>
      </c>
      <c r="V81" s="112"/>
      <c r="W81" s="113">
        <v>1.4999999999999999E-2</v>
      </c>
      <c r="X81" s="196">
        <f t="shared" si="45"/>
        <v>1.7852999999999999</v>
      </c>
      <c r="Y81" s="246">
        <f t="shared" si="46"/>
        <v>117.23469999999999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33.74</v>
      </c>
      <c r="Q82" s="137"/>
      <c r="R82" s="82">
        <v>7.4999999999999997E-3</v>
      </c>
      <c r="S82" s="194">
        <f t="shared" si="43"/>
        <v>0.25305</v>
      </c>
      <c r="T82" s="258">
        <f t="shared" si="44"/>
        <v>33.48695</v>
      </c>
      <c r="U82" s="211">
        <v>142.65</v>
      </c>
      <c r="V82" s="112"/>
      <c r="W82" s="113">
        <v>1.4999999999999999E-2</v>
      </c>
      <c r="X82" s="196">
        <f t="shared" si="45"/>
        <v>2.1397499999999998</v>
      </c>
      <c r="Y82" s="246">
        <f t="shared" si="46"/>
        <v>140.51025000000001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96.62</v>
      </c>
      <c r="Q98" s="195">
        <f>SUM(Q78:Q97)</f>
        <v>0</v>
      </c>
      <c r="R98" s="111"/>
      <c r="S98" s="195">
        <f>SUM(S78:S97)</f>
        <v>0.72465000000000002</v>
      </c>
      <c r="T98" s="195">
        <f>SUM(T78:T97)</f>
        <v>95.895349999999993</v>
      </c>
      <c r="U98" s="114">
        <f>SUM(U78:U97)</f>
        <v>479.1</v>
      </c>
      <c r="V98" s="114">
        <f>SUM(V78:V97)</f>
        <v>0</v>
      </c>
      <c r="W98" s="112"/>
      <c r="X98" s="197">
        <f>SUM(X78:X97)</f>
        <v>7.1864999999999988</v>
      </c>
      <c r="Y98" s="197">
        <f>SUM(Y78:Y97)</f>
        <v>471.9135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P79+Q79+U79</f>
        <v>148.97</v>
      </c>
    </row>
    <row r="103" spans="14:30" x14ac:dyDescent="0.25">
      <c r="N103" s="85"/>
      <c r="P103" s="212">
        <f>P80+U80+Q80</f>
        <v>114</v>
      </c>
    </row>
    <row r="104" spans="14:30" x14ac:dyDescent="0.25">
      <c r="N104" s="85"/>
      <c r="P104" s="215">
        <f>Q81+U81+P81</f>
        <v>136.35999999999999</v>
      </c>
    </row>
    <row r="105" spans="14:30" x14ac:dyDescent="0.25">
      <c r="N105" s="85"/>
      <c r="P105" s="212">
        <f>P82+Q82+U82</f>
        <v>176.39000000000001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7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5.68</v>
      </c>
      <c r="C8" s="85" t="s">
        <v>94</v>
      </c>
      <c r="D8" s="108"/>
    </row>
    <row r="9" spans="1:28" x14ac:dyDescent="0.25">
      <c r="A9" s="7" t="s">
        <v>78</v>
      </c>
      <c r="B9" s="108">
        <v>5.66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527.5</v>
      </c>
      <c r="C12" s="15"/>
      <c r="D12" s="56"/>
      <c r="E12" s="16"/>
      <c r="F12" s="56"/>
      <c r="G12" s="56"/>
      <c r="H12" s="17"/>
      <c r="I12" s="83">
        <v>527.5</v>
      </c>
      <c r="J12" s="248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207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207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1175.76</v>
      </c>
      <c r="C14" s="15"/>
      <c r="D14" s="56"/>
      <c r="E14" s="16"/>
      <c r="F14" s="56"/>
      <c r="G14" s="56"/>
      <c r="H14" s="17"/>
      <c r="I14" s="83"/>
      <c r="J14" s="81">
        <f t="shared" si="0"/>
        <v>1175.76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293</v>
      </c>
      <c r="C15" s="15"/>
      <c r="D15" s="56"/>
      <c r="E15" s="16"/>
      <c r="F15" s="56"/>
      <c r="G15" s="56"/>
      <c r="H15" s="17"/>
      <c r="I15" s="83"/>
      <c r="J15" s="81">
        <f t="shared" si="0"/>
        <v>293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1658.38</v>
      </c>
      <c r="C16" s="15"/>
      <c r="D16" s="56"/>
      <c r="E16" s="16"/>
      <c r="F16" s="56"/>
      <c r="G16" s="56"/>
      <c r="H16" s="17"/>
      <c r="I16" s="83"/>
      <c r="J16" s="81">
        <f t="shared" si="0"/>
        <v>1658.38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 t="s">
        <v>166</v>
      </c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500</v>
      </c>
      <c r="C19" s="95"/>
      <c r="D19" s="94"/>
      <c r="E19" s="96"/>
      <c r="F19" s="94"/>
      <c r="G19" s="94"/>
      <c r="H19" s="98"/>
      <c r="I19" s="99"/>
      <c r="J19" s="185">
        <f>B19-I19</f>
        <v>500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2834.1400000000003</v>
      </c>
      <c r="C20" s="95"/>
      <c r="D20" s="94"/>
      <c r="E20" s="96"/>
      <c r="F20" s="94"/>
      <c r="G20" s="94"/>
      <c r="H20" s="98"/>
      <c r="I20" s="99">
        <v>2840</v>
      </c>
      <c r="J20" s="185">
        <f t="shared" si="0"/>
        <v>-5.8599999999996726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/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>
        <v>100</v>
      </c>
      <c r="C31" s="100"/>
      <c r="D31" s="66"/>
      <c r="E31" s="67"/>
      <c r="F31" s="66"/>
      <c r="G31" s="66"/>
      <c r="H31" s="102"/>
      <c r="I31" s="79">
        <v>100</v>
      </c>
      <c r="J31" s="81">
        <f t="shared" si="0"/>
        <v>0</v>
      </c>
      <c r="K31" s="80">
        <v>100</v>
      </c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566</v>
      </c>
      <c r="C32" s="100"/>
      <c r="D32" s="66"/>
      <c r="E32" s="67"/>
      <c r="F32" s="66"/>
      <c r="G32" s="66"/>
      <c r="H32" s="102"/>
      <c r="I32" s="79">
        <v>566</v>
      </c>
      <c r="J32" s="81">
        <f t="shared" si="0"/>
        <v>0</v>
      </c>
      <c r="K32" s="80">
        <v>566</v>
      </c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100</v>
      </c>
      <c r="C35" s="95"/>
      <c r="D35" s="94"/>
      <c r="E35" s="96"/>
      <c r="F35" s="94"/>
      <c r="G35" s="94"/>
      <c r="H35" s="98"/>
      <c r="I35" s="99">
        <v>100</v>
      </c>
      <c r="J35" s="185">
        <f t="shared" si="0"/>
        <v>0</v>
      </c>
      <c r="K35" s="99">
        <v>100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566</v>
      </c>
      <c r="C36" s="95"/>
      <c r="D36" s="94"/>
      <c r="E36" s="96"/>
      <c r="F36" s="94"/>
      <c r="G36" s="94"/>
      <c r="H36" s="98"/>
      <c r="I36" s="99">
        <v>566</v>
      </c>
      <c r="J36" s="185">
        <f t="shared" si="0"/>
        <v>0</v>
      </c>
      <c r="K36" s="99">
        <v>566</v>
      </c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6186.4599999999991</v>
      </c>
      <c r="C49" s="116">
        <v>7.4999999999999997E-3</v>
      </c>
      <c r="D49" s="117">
        <f t="shared" si="17"/>
        <v>46.39844999999999</v>
      </c>
      <c r="E49" s="172">
        <v>0</v>
      </c>
      <c r="F49" s="117">
        <f t="shared" si="15"/>
        <v>0</v>
      </c>
      <c r="G49" s="117">
        <f t="shared" si="16"/>
        <v>6140.0615499999994</v>
      </c>
      <c r="H49" s="173">
        <f t="shared" si="19"/>
        <v>44757</v>
      </c>
      <c r="I49" s="176">
        <f>1479.03+4707.43</f>
        <v>6186.46</v>
      </c>
      <c r="J49" s="81">
        <f t="shared" si="0"/>
        <v>0</v>
      </c>
      <c r="K49" s="80">
        <v>6140.06</v>
      </c>
      <c r="L49" s="186">
        <f t="shared" si="18"/>
        <v>1.549999999042484E-3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154.18</v>
      </c>
      <c r="C50" s="116">
        <v>7.4999999999999997E-3</v>
      </c>
      <c r="D50" s="117">
        <f t="shared" si="17"/>
        <v>1.15635</v>
      </c>
      <c r="E50" s="172">
        <v>0</v>
      </c>
      <c r="F50" s="117">
        <f t="shared" si="15"/>
        <v>0</v>
      </c>
      <c r="G50" s="117">
        <f t="shared" si="16"/>
        <v>153.02365</v>
      </c>
      <c r="H50" s="173">
        <f t="shared" si="19"/>
        <v>44757</v>
      </c>
      <c r="I50" s="175"/>
      <c r="J50" s="81">
        <f t="shared" si="0"/>
        <v>154.18</v>
      </c>
      <c r="K50" s="80"/>
      <c r="L50" s="186">
        <f t="shared" si="18"/>
        <v>153.02365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357.36</v>
      </c>
      <c r="C51" s="116">
        <v>1.4999999999999999E-2</v>
      </c>
      <c r="D51" s="117">
        <f>+B51*C51</f>
        <v>5.3604000000000003</v>
      </c>
      <c r="E51" s="172">
        <v>0</v>
      </c>
      <c r="F51" s="117">
        <f>D51*E51</f>
        <v>0</v>
      </c>
      <c r="G51" s="117">
        <f t="shared" si="16"/>
        <v>351.99959999999999</v>
      </c>
      <c r="H51" s="173">
        <f t="shared" si="19"/>
        <v>44757</v>
      </c>
      <c r="I51" s="175">
        <v>511.54</v>
      </c>
      <c r="J51" s="81">
        <f t="shared" si="0"/>
        <v>-154.18</v>
      </c>
      <c r="K51" s="80"/>
      <c r="L51" s="186">
        <f t="shared" si="18"/>
        <v>351.99959999999999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221.57999999999998</v>
      </c>
      <c r="C56" s="116">
        <v>2.5000000000000001E-2</v>
      </c>
      <c r="D56" s="117">
        <f t="shared" si="20"/>
        <v>5.5395000000000003</v>
      </c>
      <c r="E56" s="172">
        <v>0.05</v>
      </c>
      <c r="F56" s="117">
        <f t="shared" si="21"/>
        <v>9.5508620689655181</v>
      </c>
      <c r="G56" s="117">
        <f t="shared" si="22"/>
        <v>206.48963793103445</v>
      </c>
      <c r="H56" s="173">
        <f t="shared" si="19"/>
        <v>44757</v>
      </c>
      <c r="I56" s="176">
        <v>221.58</v>
      </c>
      <c r="J56" s="81">
        <f t="shared" si="0"/>
        <v>0</v>
      </c>
      <c r="K56" s="80">
        <v>206.49</v>
      </c>
      <c r="L56" s="186">
        <f t="shared" si="18"/>
        <v>-3.6206896555768253E-4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58.454699999999988</v>
      </c>
      <c r="E61" s="177"/>
      <c r="F61" s="57">
        <f>SUM(F46:F58)</f>
        <v>9.5508620689655181</v>
      </c>
      <c r="G61" s="57">
        <f>SUM(G46:G58)</f>
        <v>6851.5744379310345</v>
      </c>
      <c r="H61" s="173">
        <f t="shared" si="19"/>
        <v>44757</v>
      </c>
      <c r="I61" s="175"/>
      <c r="J61" s="81">
        <f t="shared" si="0"/>
        <v>0</v>
      </c>
      <c r="K61" s="80"/>
      <c r="L61" s="186">
        <f t="shared" si="18"/>
        <v>6851.5744379310345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13703.148875862069</v>
      </c>
      <c r="H64" s="184"/>
      <c r="I64" s="175"/>
      <c r="J64" s="81">
        <f t="shared" si="0"/>
        <v>0</v>
      </c>
      <c r="K64" s="80"/>
      <c r="L64" s="186">
        <f t="shared" si="18"/>
        <v>13703.148875862069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10847.22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10745.29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10833.53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-88.239999999999782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262</v>
      </c>
      <c r="Q70" s="228">
        <v>1001</v>
      </c>
      <c r="R70" s="255">
        <v>9.94</v>
      </c>
      <c r="S70" s="228"/>
      <c r="T70" s="256">
        <v>44.62</v>
      </c>
      <c r="U70" s="189" t="s">
        <v>166</v>
      </c>
      <c r="V70" s="189">
        <f t="shared" ref="V70:V74" si="34">R70*V$10</f>
        <v>7.4549999999999991E-2</v>
      </c>
      <c r="W70" s="189">
        <f t="shared" ref="W70:W74" si="35">+S70*V$10</f>
        <v>0</v>
      </c>
      <c r="X70" s="189">
        <f t="shared" ref="X70:X74" si="36">+T70*X$10</f>
        <v>1.1154999999999999</v>
      </c>
      <c r="Y70" s="189">
        <f t="shared" ref="Y70:Z74" si="37">R70-V70</f>
        <v>9.8654499999999992</v>
      </c>
      <c r="Z70" s="189">
        <f t="shared" si="37"/>
        <v>0</v>
      </c>
      <c r="AA70" s="189" t="e">
        <f t="shared" ref="AA70:AA74" si="38">T70-U70-X70</f>
        <v>#VALUE!</v>
      </c>
      <c r="AB70" s="87"/>
    </row>
    <row r="71" spans="1:30" ht="28.5" customHeight="1" thickBot="1" x14ac:dyDescent="0.3">
      <c r="A71" s="25" t="s">
        <v>57</v>
      </c>
      <c r="B71" s="252">
        <f>(B65-B69)-B72</f>
        <v>13.68999999999869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118</v>
      </c>
      <c r="Q71" s="228">
        <v>1001</v>
      </c>
      <c r="R71" s="255">
        <f>446.68+1022.41</f>
        <v>1469.09</v>
      </c>
      <c r="S71" s="228"/>
      <c r="T71" s="256">
        <f>95.6+81.36</f>
        <v>176.95999999999998</v>
      </c>
      <c r="U71" s="189">
        <f t="shared" ref="U71:U74" si="39">((T71/U$10)*U$9)</f>
        <v>7.6275862068965514</v>
      </c>
      <c r="V71" s="189">
        <f t="shared" si="34"/>
        <v>11.018174999999999</v>
      </c>
      <c r="W71" s="189">
        <f t="shared" si="35"/>
        <v>0</v>
      </c>
      <c r="X71" s="189">
        <f t="shared" si="36"/>
        <v>4.4239999999999995</v>
      </c>
      <c r="Y71" s="189">
        <f t="shared" si="37"/>
        <v>1458.071825</v>
      </c>
      <c r="Z71" s="189">
        <f t="shared" si="37"/>
        <v>0</v>
      </c>
      <c r="AA71" s="189">
        <f t="shared" si="38"/>
        <v>164.90841379310342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263</v>
      </c>
      <c r="Q72" s="228">
        <v>2003</v>
      </c>
      <c r="R72" s="255">
        <f>1303.52+911.31</f>
        <v>2214.83</v>
      </c>
      <c r="S72" s="228"/>
      <c r="T72" s="228"/>
      <c r="U72" s="189">
        <f t="shared" si="39"/>
        <v>0</v>
      </c>
      <c r="V72" s="189">
        <f t="shared" si="34"/>
        <v>16.611224999999997</v>
      </c>
      <c r="W72" s="189">
        <f t="shared" si="35"/>
        <v>0</v>
      </c>
      <c r="X72" s="189">
        <f t="shared" si="36"/>
        <v>0</v>
      </c>
      <c r="Y72" s="189">
        <f t="shared" si="37"/>
        <v>2198.2187749999998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264</v>
      </c>
      <c r="Q73" s="228">
        <v>2002</v>
      </c>
      <c r="R73" s="255">
        <f>1859.87+493.82</f>
        <v>2353.69</v>
      </c>
      <c r="S73" s="228"/>
      <c r="T73" s="228"/>
      <c r="U73" s="189">
        <f t="shared" si="39"/>
        <v>0</v>
      </c>
      <c r="V73" s="189">
        <f t="shared" si="34"/>
        <v>17.652674999999999</v>
      </c>
      <c r="W73" s="189">
        <f t="shared" si="35"/>
        <v>0</v>
      </c>
      <c r="X73" s="189">
        <f t="shared" si="36"/>
        <v>0</v>
      </c>
      <c r="Y73" s="189">
        <f t="shared" si="37"/>
        <v>2336.0373250000002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719</v>
      </c>
      <c r="Q74" s="228">
        <v>2002</v>
      </c>
      <c r="R74" s="255">
        <v>138.91</v>
      </c>
      <c r="S74" s="228"/>
      <c r="T74" s="228"/>
      <c r="U74" s="189">
        <f t="shared" si="39"/>
        <v>0</v>
      </c>
      <c r="V74" s="189">
        <f t="shared" si="34"/>
        <v>1.041825</v>
      </c>
      <c r="W74" s="189">
        <f t="shared" si="35"/>
        <v>0</v>
      </c>
      <c r="X74" s="189">
        <f t="shared" si="36"/>
        <v>0</v>
      </c>
      <c r="Y74" s="189">
        <f t="shared" si="37"/>
        <v>137.86817500000001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6186.4599999999991</v>
      </c>
      <c r="S75" s="192"/>
      <c r="T75" s="192">
        <f>SUM(T70:T74)</f>
        <v>221.57999999999998</v>
      </c>
      <c r="U75" s="192">
        <f>SUM(U70:U74)</f>
        <v>7.6275862068965514</v>
      </c>
      <c r="V75" s="192">
        <f t="shared" ref="V75:AA75" si="41">SUM(V70:V74)</f>
        <v>46.398449999999997</v>
      </c>
      <c r="W75" s="192">
        <f t="shared" si="41"/>
        <v>0</v>
      </c>
      <c r="X75" s="192">
        <f t="shared" si="41"/>
        <v>5.5394999999999994</v>
      </c>
      <c r="Y75" s="192">
        <f t="shared" si="41"/>
        <v>6140.0615499999994</v>
      </c>
      <c r="Z75" s="192">
        <f t="shared" si="41"/>
        <v>0</v>
      </c>
      <c r="AA75" s="193" t="e">
        <f t="shared" si="41"/>
        <v>#VALUE!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42.52</v>
      </c>
      <c r="Q78" s="137"/>
      <c r="R78" s="82">
        <v>7.4999999999999997E-3</v>
      </c>
      <c r="S78" s="194">
        <f>+(P78+Q78)*R78</f>
        <v>0.31890000000000002</v>
      </c>
      <c r="T78" s="253">
        <f>+(P78+Q78)-S78</f>
        <v>42.201100000000004</v>
      </c>
      <c r="U78" s="211">
        <v>166.62</v>
      </c>
      <c r="V78" s="112"/>
      <c r="W78" s="113">
        <v>1.4999999999999999E-2</v>
      </c>
      <c r="X78" s="196">
        <f>+(U78+V78)*W78</f>
        <v>2.4992999999999999</v>
      </c>
      <c r="Y78" s="246">
        <f>+(U78+V78)-X78</f>
        <v>164.1207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28.78</v>
      </c>
      <c r="Q79" s="137"/>
      <c r="R79" s="82">
        <v>7.4999999999999997E-3</v>
      </c>
      <c r="S79" s="194">
        <f t="shared" ref="S79:S97" si="43">+(P79+Q79)*R79</f>
        <v>0.21585000000000001</v>
      </c>
      <c r="T79" s="253">
        <f t="shared" ref="T79:T97" si="44">+(P79+Q79)-S79</f>
        <v>28.564150000000001</v>
      </c>
      <c r="U79" s="211">
        <v>30.21</v>
      </c>
      <c r="V79" s="112"/>
      <c r="W79" s="113">
        <v>1.4999999999999999E-2</v>
      </c>
      <c r="X79" s="196">
        <f t="shared" ref="X79:X97" si="45">+(U79+V79)*W79</f>
        <v>0.45315</v>
      </c>
      <c r="Y79" s="246">
        <f t="shared" ref="Y79:Y97" si="46">+(U79+V79)-X79</f>
        <v>29.75685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82.88</v>
      </c>
      <c r="Q80" s="137"/>
      <c r="R80" s="82">
        <v>7.4999999999999997E-3</v>
      </c>
      <c r="S80" s="194">
        <f t="shared" si="43"/>
        <v>0.62159999999999993</v>
      </c>
      <c r="T80" s="219">
        <f t="shared" si="44"/>
        <v>82.258399999999995</v>
      </c>
      <c r="U80" s="211">
        <v>68.760000000000005</v>
      </c>
      <c r="V80" s="112"/>
      <c r="W80" s="113">
        <v>1.4999999999999999E-2</v>
      </c>
      <c r="X80" s="196">
        <f t="shared" si="45"/>
        <v>1.0314000000000001</v>
      </c>
      <c r="Y80" s="213">
        <f t="shared" si="46"/>
        <v>67.7286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91.77</v>
      </c>
      <c r="V81" s="112"/>
      <c r="W81" s="113">
        <v>1.4999999999999999E-2</v>
      </c>
      <c r="X81" s="196">
        <f t="shared" si="45"/>
        <v>1.3765499999999999</v>
      </c>
      <c r="Y81" s="213">
        <f t="shared" si="46"/>
        <v>90.393450000000001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154.18</v>
      </c>
      <c r="Q98" s="195">
        <f>SUM(Q78:Q97)</f>
        <v>0</v>
      </c>
      <c r="R98" s="111"/>
      <c r="S98" s="195">
        <f>SUM(S78:S97)</f>
        <v>1.15635</v>
      </c>
      <c r="T98" s="195">
        <f>SUM(T78:T97)</f>
        <v>153.02365</v>
      </c>
      <c r="U98" s="114">
        <f>SUM(U78:U97)</f>
        <v>357.36</v>
      </c>
      <c r="V98" s="114">
        <f>SUM(V78:V97)</f>
        <v>0</v>
      </c>
      <c r="W98" s="112"/>
      <c r="X98" s="197">
        <f>SUM(X78:X97)</f>
        <v>5.3604000000000003</v>
      </c>
      <c r="Y98" s="197">
        <f>SUM(Y78:Y97)</f>
        <v>351.99959999999999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209.14000000000001</v>
      </c>
    </row>
    <row r="103" spans="14:30" x14ac:dyDescent="0.25">
      <c r="N103" s="85"/>
      <c r="Q103" s="215">
        <f>P79+Q79+U79</f>
        <v>58.99</v>
      </c>
    </row>
    <row r="104" spans="14:30" x14ac:dyDescent="0.25">
      <c r="N104" s="85"/>
      <c r="Q104" s="215">
        <f>Q81+P81+U81</f>
        <v>91.77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151.63999999999999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3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44757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5.68</v>
      </c>
      <c r="C8" s="85" t="s">
        <v>94</v>
      </c>
      <c r="D8" s="108"/>
    </row>
    <row r="9" spans="1:28" x14ac:dyDescent="0.25">
      <c r="A9" s="7" t="s">
        <v>78</v>
      </c>
      <c r="B9" s="108">
        <v>5.7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5.66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931</v>
      </c>
      <c r="C12" s="15"/>
      <c r="D12" s="56"/>
      <c r="E12" s="16"/>
      <c r="F12" s="56"/>
      <c r="G12" s="56"/>
      <c r="H12" s="17"/>
      <c r="I12" s="83">
        <v>931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373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373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2118.64</v>
      </c>
      <c r="C14" s="15"/>
      <c r="D14" s="56"/>
      <c r="E14" s="16"/>
      <c r="F14" s="56"/>
      <c r="G14" s="56"/>
      <c r="H14" s="17"/>
      <c r="I14" s="83"/>
      <c r="J14" s="81">
        <f t="shared" si="0"/>
        <v>2118.64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322</v>
      </c>
      <c r="C15" s="15"/>
      <c r="D15" s="56"/>
      <c r="E15" s="16"/>
      <c r="F15" s="56"/>
      <c r="G15" s="56"/>
      <c r="H15" s="17"/>
      <c r="I15" s="83"/>
      <c r="J15" s="81">
        <f t="shared" si="0"/>
        <v>322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1835.4</v>
      </c>
      <c r="C16" s="15"/>
      <c r="D16" s="56"/>
      <c r="E16" s="16"/>
      <c r="F16" s="56"/>
      <c r="G16" s="56"/>
      <c r="H16" s="17"/>
      <c r="I16" s="83"/>
      <c r="J16" s="81">
        <f t="shared" si="0"/>
        <v>1835.4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39</v>
      </c>
      <c r="C17" s="15"/>
      <c r="D17" s="56"/>
      <c r="E17" s="16"/>
      <c r="F17" s="56"/>
      <c r="G17" s="56"/>
      <c r="H17" s="17"/>
      <c r="I17" s="83"/>
      <c r="J17" s="81">
        <f t="shared" si="0"/>
        <v>39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220.74</v>
      </c>
      <c r="C18" s="15"/>
      <c r="D18" s="56"/>
      <c r="E18" s="16"/>
      <c r="F18" s="56"/>
      <c r="G18" s="56"/>
      <c r="H18" s="17"/>
      <c r="I18" s="83"/>
      <c r="J18" s="81">
        <f t="shared" si="0"/>
        <v>220.74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734</v>
      </c>
      <c r="C19" s="95"/>
      <c r="D19" s="94"/>
      <c r="E19" s="96"/>
      <c r="F19" s="94"/>
      <c r="G19" s="94"/>
      <c r="H19" s="98"/>
      <c r="I19" s="99">
        <v>734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4174.78</v>
      </c>
      <c r="C20" s="95"/>
      <c r="D20" s="94"/>
      <c r="E20" s="96"/>
      <c r="F20" s="94"/>
      <c r="G20" s="94"/>
      <c r="H20" s="98"/>
      <c r="I20" s="99">
        <v>4183.8</v>
      </c>
      <c r="J20" s="185">
        <f t="shared" si="0"/>
        <v>-9.0200000000004366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6766.18</v>
      </c>
      <c r="C49" s="116">
        <v>7.4999999999999997E-3</v>
      </c>
      <c r="D49" s="117">
        <f t="shared" si="17"/>
        <v>50.74635</v>
      </c>
      <c r="E49" s="172">
        <v>0</v>
      </c>
      <c r="F49" s="117">
        <f t="shared" si="15"/>
        <v>0</v>
      </c>
      <c r="G49" s="117">
        <f t="shared" si="16"/>
        <v>6715.4336499999999</v>
      </c>
      <c r="H49" s="173">
        <f t="shared" si="19"/>
        <v>44758</v>
      </c>
      <c r="I49" s="176">
        <f>797.15+5969.03</f>
        <v>6766.1799999999994</v>
      </c>
      <c r="J49" s="81">
        <f t="shared" si="0"/>
        <v>0</v>
      </c>
      <c r="K49" s="80">
        <v>6715.43</v>
      </c>
      <c r="L49" s="186">
        <f t="shared" si="18"/>
        <v>3.6499999996522092E-3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144.01000000000002</v>
      </c>
      <c r="C50" s="116">
        <v>7.4999999999999997E-3</v>
      </c>
      <c r="D50" s="117">
        <f t="shared" si="17"/>
        <v>1.0800750000000001</v>
      </c>
      <c r="E50" s="172">
        <v>0</v>
      </c>
      <c r="F50" s="117">
        <f t="shared" si="15"/>
        <v>0</v>
      </c>
      <c r="G50" s="117">
        <f t="shared" si="16"/>
        <v>142.92992500000003</v>
      </c>
      <c r="H50" s="173">
        <f t="shared" si="19"/>
        <v>44758</v>
      </c>
      <c r="I50" s="175"/>
      <c r="J50" s="81">
        <f t="shared" si="0"/>
        <v>144.01000000000002</v>
      </c>
      <c r="K50" s="80">
        <v>142.93</v>
      </c>
      <c r="L50" s="186">
        <f t="shared" si="18"/>
        <v>-7.499999998117346E-5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158.07999999999998</v>
      </c>
      <c r="C51" s="116">
        <v>1.4999999999999999E-2</v>
      </c>
      <c r="D51" s="117">
        <f>+B51*C51</f>
        <v>2.3711999999999995</v>
      </c>
      <c r="E51" s="172">
        <v>0</v>
      </c>
      <c r="F51" s="117">
        <f>D51*E51</f>
        <v>0</v>
      </c>
      <c r="G51" s="117">
        <f t="shared" si="16"/>
        <v>155.7088</v>
      </c>
      <c r="H51" s="173">
        <f t="shared" si="19"/>
        <v>44758</v>
      </c>
      <c r="I51" s="175">
        <v>301.92</v>
      </c>
      <c r="J51" s="81">
        <f t="shared" si="0"/>
        <v>-143.84000000000003</v>
      </c>
      <c r="K51" s="80">
        <v>155.71</v>
      </c>
      <c r="L51" s="186">
        <f t="shared" si="18"/>
        <v>-1.2000000000114142E-3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350.72</v>
      </c>
      <c r="C56" s="116">
        <v>2.5000000000000001E-2</v>
      </c>
      <c r="D56" s="117">
        <f t="shared" si="20"/>
        <v>8.7680000000000007</v>
      </c>
      <c r="E56" s="172">
        <v>0.05</v>
      </c>
      <c r="F56" s="117">
        <f t="shared" si="21"/>
        <v>15.117241379310347</v>
      </c>
      <c r="G56" s="117">
        <f t="shared" si="22"/>
        <v>326.83475862068963</v>
      </c>
      <c r="H56" s="173">
        <f t="shared" si="19"/>
        <v>44758</v>
      </c>
      <c r="I56" s="176">
        <v>350.72</v>
      </c>
      <c r="J56" s="81">
        <f t="shared" si="0"/>
        <v>0</v>
      </c>
      <c r="K56" s="80">
        <v>326.83</v>
      </c>
      <c r="L56" s="186">
        <f t="shared" si="18"/>
        <v>4.758620689642612E-3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62.965625000000003</v>
      </c>
      <c r="E61" s="177"/>
      <c r="F61" s="57">
        <f>SUM(F46:F58)</f>
        <v>15.117241379310347</v>
      </c>
      <c r="G61" s="57">
        <f>SUM(G46:G58)</f>
        <v>7340.9071336206907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7340.9071336206907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14681.814267241381</v>
      </c>
      <c r="H64" s="184"/>
      <c r="I64" s="175"/>
      <c r="J64" s="81">
        <f t="shared" si="0"/>
        <v>0</v>
      </c>
      <c r="K64" s="80"/>
      <c r="L64" s="186">
        <f t="shared" si="18"/>
        <v>14681.814267241381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12524.769999999999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12405.1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12517.03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-111.93000000000029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265</v>
      </c>
      <c r="Q70" s="228">
        <v>1001</v>
      </c>
      <c r="R70" s="255">
        <v>263.41000000000003</v>
      </c>
      <c r="S70" s="228"/>
      <c r="T70" s="256">
        <f>68.84+136.04</f>
        <v>204.88</v>
      </c>
      <c r="U70" s="189">
        <f t="shared" ref="U70:U74" si="34">((T70/U$10)*U$9)</f>
        <v>8.8310344827586214</v>
      </c>
      <c r="V70" s="189">
        <f t="shared" ref="V70:V74" si="35">R70*V$10</f>
        <v>1.9755750000000001</v>
      </c>
      <c r="W70" s="189">
        <f t="shared" ref="W70:W74" si="36">+S70*V$10</f>
        <v>0</v>
      </c>
      <c r="X70" s="189">
        <f t="shared" ref="X70:X74" si="37">+T70*X$10</f>
        <v>5.1219999999999999</v>
      </c>
      <c r="Y70" s="189">
        <f t="shared" ref="Y70:Z74" si="38">R70-V70</f>
        <v>261.43442500000003</v>
      </c>
      <c r="Z70" s="189">
        <f t="shared" si="38"/>
        <v>0</v>
      </c>
      <c r="AA70" s="189">
        <f t="shared" ref="AA70:AA74" si="39">T70-U70-X70</f>
        <v>190.9269655172414</v>
      </c>
      <c r="AB70" s="87"/>
    </row>
    <row r="71" spans="1:30" ht="28.5" customHeight="1" thickBot="1" x14ac:dyDescent="0.3">
      <c r="A71" s="25" t="s">
        <v>57</v>
      </c>
      <c r="B71" s="70">
        <f>(B65-B69)-B72</f>
        <v>7.7399999999979627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158">
        <v>119</v>
      </c>
      <c r="Q71" s="158">
        <v>1001</v>
      </c>
      <c r="R71" s="255">
        <v>533.74</v>
      </c>
      <c r="S71" s="228"/>
      <c r="T71" s="256">
        <v>145.84</v>
      </c>
      <c r="U71" s="189">
        <f t="shared" si="34"/>
        <v>6.2862068965517253</v>
      </c>
      <c r="V71" s="189">
        <f t="shared" si="35"/>
        <v>4.00305</v>
      </c>
      <c r="W71" s="189">
        <f t="shared" si="36"/>
        <v>0</v>
      </c>
      <c r="X71" s="189">
        <f t="shared" si="37"/>
        <v>3.6460000000000004</v>
      </c>
      <c r="Y71" s="189">
        <f t="shared" si="38"/>
        <v>529.73694999999998</v>
      </c>
      <c r="Z71" s="189">
        <f t="shared" si="38"/>
        <v>0</v>
      </c>
      <c r="AA71" s="189">
        <f t="shared" si="39"/>
        <v>135.90779310344828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266</v>
      </c>
      <c r="Q72" s="228">
        <v>2003</v>
      </c>
      <c r="R72" s="255">
        <f>1164.49+904.97</f>
        <v>2069.46</v>
      </c>
      <c r="S72" s="228"/>
      <c r="T72" s="228"/>
      <c r="U72" s="189">
        <f t="shared" si="34"/>
        <v>0</v>
      </c>
      <c r="V72" s="189">
        <f t="shared" si="35"/>
        <v>15.520949999999999</v>
      </c>
      <c r="W72" s="189">
        <f t="shared" si="36"/>
        <v>0</v>
      </c>
      <c r="X72" s="189">
        <f t="shared" si="37"/>
        <v>0</v>
      </c>
      <c r="Y72" s="189">
        <f t="shared" si="38"/>
        <v>2053.93905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267</v>
      </c>
      <c r="Q73" s="228">
        <v>2002</v>
      </c>
      <c r="R73" s="255">
        <f>512.21+1768.85</f>
        <v>2281.06</v>
      </c>
      <c r="S73" s="228"/>
      <c r="T73" s="228"/>
      <c r="U73" s="189">
        <f t="shared" si="34"/>
        <v>0</v>
      </c>
      <c r="V73" s="189">
        <f t="shared" si="35"/>
        <v>17.107949999999999</v>
      </c>
      <c r="W73" s="189">
        <f t="shared" si="36"/>
        <v>0</v>
      </c>
      <c r="X73" s="189">
        <f t="shared" si="37"/>
        <v>0</v>
      </c>
      <c r="Y73" s="189">
        <f t="shared" si="38"/>
        <v>2263.9520499999999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>
        <v>722</v>
      </c>
      <c r="Q74" s="228">
        <v>2002</v>
      </c>
      <c r="R74" s="255">
        <v>1618.51</v>
      </c>
      <c r="S74" s="228"/>
      <c r="T74" s="228"/>
      <c r="U74" s="189">
        <f t="shared" si="34"/>
        <v>0</v>
      </c>
      <c r="V74" s="189">
        <f t="shared" si="35"/>
        <v>12.138824999999999</v>
      </c>
      <c r="W74" s="189">
        <f t="shared" si="36"/>
        <v>0</v>
      </c>
      <c r="X74" s="189">
        <f t="shared" si="37"/>
        <v>0</v>
      </c>
      <c r="Y74" s="189">
        <f t="shared" si="38"/>
        <v>1606.371175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6766.18</v>
      </c>
      <c r="S75" s="192"/>
      <c r="T75" s="192">
        <f>SUM(T70:T74)</f>
        <v>350.72</v>
      </c>
      <c r="U75" s="192">
        <f>SUM(U70:U74)</f>
        <v>15.117241379310347</v>
      </c>
      <c r="V75" s="192">
        <f t="shared" ref="V75:AA75" si="41">SUM(V70:V74)</f>
        <v>50.746349999999993</v>
      </c>
      <c r="W75" s="192">
        <f t="shared" si="41"/>
        <v>0</v>
      </c>
      <c r="X75" s="192">
        <f t="shared" si="41"/>
        <v>8.7680000000000007</v>
      </c>
      <c r="Y75" s="192">
        <f t="shared" si="41"/>
        <v>6715.4336499999999</v>
      </c>
      <c r="Z75" s="192">
        <f t="shared" si="41"/>
        <v>0</v>
      </c>
      <c r="AA75" s="193">
        <f t="shared" si="41"/>
        <v>326.83475862068968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4.1500000000000004</v>
      </c>
      <c r="Q78" s="137"/>
      <c r="R78" s="82">
        <v>7.4999999999999997E-3</v>
      </c>
      <c r="S78" s="194">
        <f>+(P78+Q78)*R78</f>
        <v>3.1125E-2</v>
      </c>
      <c r="T78" s="213">
        <f>+(P78+Q78)-S78</f>
        <v>4.1188750000000001</v>
      </c>
      <c r="U78" s="211">
        <v>23</v>
      </c>
      <c r="V78" s="112"/>
      <c r="W78" s="113">
        <v>1.4999999999999999E-2</v>
      </c>
      <c r="X78" s="196">
        <f>+(U78+V78)*W78</f>
        <v>0.34499999999999997</v>
      </c>
      <c r="Y78" s="246">
        <f>+(U78+V78)-X78</f>
        <v>22.655000000000001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v>14.08</v>
      </c>
      <c r="R79" s="82">
        <v>7.4999999999999997E-3</v>
      </c>
      <c r="S79" s="194">
        <f t="shared" ref="S79:S97" si="43">+(P79+Q79)*R79</f>
        <v>0.1056</v>
      </c>
      <c r="T79" s="213">
        <f t="shared" ref="T79:T97" si="44">+(P79+Q79)-S79</f>
        <v>13.974399999999999</v>
      </c>
      <c r="U79" s="211">
        <v>51.22</v>
      </c>
      <c r="V79" s="112"/>
      <c r="W79" s="113">
        <v>1.4999999999999999E-2</v>
      </c>
      <c r="X79" s="196">
        <f t="shared" ref="X79:X97" si="45">+(U79+V79)*W79</f>
        <v>0.76829999999999998</v>
      </c>
      <c r="Y79" s="246">
        <f t="shared" ref="Y79:Y97" si="46">+(U79+V79)-X79</f>
        <v>50.451700000000002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125.78</v>
      </c>
      <c r="Q80" s="137"/>
      <c r="R80" s="82">
        <v>7.4999999999999997E-3</v>
      </c>
      <c r="S80" s="194">
        <f t="shared" si="43"/>
        <v>0.94335000000000002</v>
      </c>
      <c r="T80" s="246">
        <f t="shared" si="44"/>
        <v>124.83665000000001</v>
      </c>
      <c r="U80" s="211">
        <v>60.85</v>
      </c>
      <c r="V80" s="112"/>
      <c r="W80" s="113">
        <v>1.4999999999999999E-2</v>
      </c>
      <c r="X80" s="196">
        <f t="shared" si="45"/>
        <v>0.91274999999999995</v>
      </c>
      <c r="Y80" s="258">
        <f t="shared" si="46"/>
        <v>59.937249999999999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23.01</v>
      </c>
      <c r="V81" s="112"/>
      <c r="W81" s="113">
        <v>1.4999999999999999E-2</v>
      </c>
      <c r="X81" s="196">
        <f t="shared" si="45"/>
        <v>0.34515000000000001</v>
      </c>
      <c r="Y81" s="258">
        <f t="shared" si="46"/>
        <v>22.664850000000001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3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220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220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220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220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129.93</v>
      </c>
      <c r="Q98" s="195">
        <f>SUM(Q78:Q97)</f>
        <v>14.08</v>
      </c>
      <c r="R98" s="111"/>
      <c r="S98" s="195">
        <f>SUM(S78:S97)</f>
        <v>1.0800749999999999</v>
      </c>
      <c r="T98" s="195">
        <f>SUM(T78:T97)</f>
        <v>142.929925</v>
      </c>
      <c r="U98" s="114">
        <f>SUM(U78:U97)</f>
        <v>158.07999999999998</v>
      </c>
      <c r="V98" s="114">
        <f>SUM(V78:V97)</f>
        <v>0</v>
      </c>
      <c r="W98" s="112"/>
      <c r="X98" s="197">
        <f>SUM(X78:X97)</f>
        <v>2.3711999999999995</v>
      </c>
      <c r="Y98" s="197">
        <f>SUM(Y78:Y97)</f>
        <v>155.7088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27.15</v>
      </c>
    </row>
    <row r="102" spans="14:30" x14ac:dyDescent="0.25">
      <c r="N102" s="85"/>
      <c r="R102" s="215">
        <f>P79+U79+Q79</f>
        <v>65.3</v>
      </c>
    </row>
    <row r="103" spans="14:30" x14ac:dyDescent="0.25">
      <c r="N103" s="85"/>
      <c r="R103" s="215">
        <f>P80+Q80+U80</f>
        <v>186.63</v>
      </c>
    </row>
    <row r="104" spans="14:30" x14ac:dyDescent="0.25">
      <c r="N104" s="85"/>
      <c r="R104" s="215">
        <f>P81+U81+Q81</f>
        <v>23.01</v>
      </c>
    </row>
    <row r="105" spans="14:30" x14ac:dyDescent="0.25">
      <c r="N105" s="85"/>
      <c r="R105" s="215">
        <f>P82+U82+Q82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873.5</v>
      </c>
      <c r="C12" s="15"/>
      <c r="D12" s="56"/>
      <c r="E12" s="16"/>
      <c r="F12" s="56"/>
      <c r="G12" s="56"/>
      <c r="H12" s="17"/>
      <c r="I12" s="83">
        <v>873.5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728</v>
      </c>
      <c r="C13" s="15"/>
      <c r="D13" s="56"/>
      <c r="E13" s="16"/>
      <c r="F13" s="56"/>
      <c r="G13" s="56"/>
      <c r="H13" s="17"/>
      <c r="I13" s="83">
        <v>728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4149.6000000000004</v>
      </c>
      <c r="C14" s="15"/>
      <c r="D14" s="56"/>
      <c r="E14" s="16"/>
      <c r="F14" s="56"/>
      <c r="G14" s="56"/>
      <c r="H14" s="17"/>
      <c r="I14" s="83">
        <v>4149.6000000000004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728</v>
      </c>
      <c r="C19" s="95"/>
      <c r="D19" s="94"/>
      <c r="E19" s="96"/>
      <c r="F19" s="94"/>
      <c r="G19" s="94"/>
      <c r="H19" s="98"/>
      <c r="I19" s="99">
        <v>728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4149.6000000000004</v>
      </c>
      <c r="C20" s="95"/>
      <c r="D20" s="94"/>
      <c r="E20" s="96"/>
      <c r="F20" s="94"/>
      <c r="G20" s="94"/>
      <c r="H20" s="98"/>
      <c r="I20" s="99">
        <v>4149.6000000000004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8.5</v>
      </c>
      <c r="C37" s="100"/>
      <c r="D37" s="66"/>
      <c r="E37" s="67"/>
      <c r="F37" s="66"/>
      <c r="G37" s="66"/>
      <c r="H37" s="102"/>
      <c r="I37" s="79">
        <v>8.5</v>
      </c>
      <c r="J37" s="81">
        <f t="shared" si="0"/>
        <v>0</v>
      </c>
      <c r="K37" s="80"/>
      <c r="L37" s="186">
        <f>K37-B37</f>
        <v>-8.5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48.45</v>
      </c>
      <c r="C38" s="100"/>
      <c r="D38" s="66"/>
      <c r="E38" s="67"/>
      <c r="F38" s="66"/>
      <c r="G38" s="66"/>
      <c r="H38" s="102"/>
      <c r="I38" s="79">
        <v>48.45</v>
      </c>
      <c r="J38" s="81">
        <f t="shared" si="0"/>
        <v>0</v>
      </c>
      <c r="K38" s="80"/>
      <c r="L38" s="186">
        <f>K38-B38</f>
        <v>-48.45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8.5</v>
      </c>
      <c r="C43" s="95"/>
      <c r="D43" s="94"/>
      <c r="E43" s="96"/>
      <c r="F43" s="94"/>
      <c r="G43" s="94"/>
      <c r="H43" s="98"/>
      <c r="I43" s="99">
        <v>8.5</v>
      </c>
      <c r="J43" s="185">
        <f t="shared" si="0"/>
        <v>0</v>
      </c>
      <c r="K43" s="99"/>
      <c r="L43" s="187">
        <f>K43-B43</f>
        <v>-8.5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48.45</v>
      </c>
      <c r="C44" s="95"/>
      <c r="D44" s="94"/>
      <c r="E44" s="96"/>
      <c r="F44" s="94"/>
      <c r="G44" s="94"/>
      <c r="H44" s="98"/>
      <c r="I44" s="99">
        <v>48.45</v>
      </c>
      <c r="J44" s="185">
        <f t="shared" si="0"/>
        <v>0</v>
      </c>
      <c r="K44" s="99"/>
      <c r="L44" s="187">
        <f>K44-B44</f>
        <v>-48.45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216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5966.3099999999995</v>
      </c>
      <c r="C49" s="116">
        <v>7.4999999999999997E-3</v>
      </c>
      <c r="D49" s="117">
        <f t="shared" si="17"/>
        <v>44.747324999999996</v>
      </c>
      <c r="E49" s="172">
        <v>0</v>
      </c>
      <c r="F49" s="117">
        <f t="shared" si="15"/>
        <v>0</v>
      </c>
      <c r="G49" s="117">
        <f t="shared" si="16"/>
        <v>5921.5626749999992</v>
      </c>
      <c r="H49" s="173">
        <f t="shared" si="19"/>
        <v>44759</v>
      </c>
      <c r="I49" s="176">
        <f>344.73+5621.58</f>
        <v>5966.3099999999995</v>
      </c>
      <c r="J49" s="81">
        <f t="shared" si="0"/>
        <v>0</v>
      </c>
      <c r="K49" s="80">
        <v>5921.56</v>
      </c>
      <c r="L49" s="186">
        <f t="shared" si="18"/>
        <v>2.6749999988169293E-3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46.76</v>
      </c>
      <c r="C50" s="116">
        <v>7.4999999999999997E-3</v>
      </c>
      <c r="D50" s="117">
        <f t="shared" si="17"/>
        <v>0.35069999999999996</v>
      </c>
      <c r="E50" s="172">
        <v>0</v>
      </c>
      <c r="F50" s="117">
        <f t="shared" si="15"/>
        <v>0</v>
      </c>
      <c r="G50" s="117">
        <f t="shared" si="16"/>
        <v>46.409299999999995</v>
      </c>
      <c r="H50" s="173">
        <f t="shared" si="19"/>
        <v>44759</v>
      </c>
      <c r="I50" s="175"/>
      <c r="J50" s="81">
        <f t="shared" si="0"/>
        <v>46.76</v>
      </c>
      <c r="K50" s="80">
        <v>46.41</v>
      </c>
      <c r="L50" s="186">
        <f t="shared" si="18"/>
        <v>-7.0000000000192131E-4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121.1</v>
      </c>
      <c r="C51" s="116">
        <v>1.4999999999999999E-2</v>
      </c>
      <c r="D51" s="117">
        <f>+B51*C51</f>
        <v>1.8164999999999998</v>
      </c>
      <c r="E51" s="172">
        <v>0</v>
      </c>
      <c r="F51" s="117">
        <f>D51*E51</f>
        <v>0</v>
      </c>
      <c r="G51" s="117">
        <f t="shared" si="16"/>
        <v>119.28349999999999</v>
      </c>
      <c r="H51" s="173">
        <f t="shared" si="19"/>
        <v>44759</v>
      </c>
      <c r="I51" s="175">
        <v>167.86</v>
      </c>
      <c r="J51" s="81">
        <f t="shared" si="0"/>
        <v>-46.760000000000019</v>
      </c>
      <c r="K51" s="80">
        <v>119.28</v>
      </c>
      <c r="L51" s="186">
        <f t="shared" si="18"/>
        <v>3.4999999999882903E-3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4.96</v>
      </c>
      <c r="C56" s="116">
        <v>2.5000000000000001E-2</v>
      </c>
      <c r="D56" s="117">
        <f t="shared" si="20"/>
        <v>0.124</v>
      </c>
      <c r="E56" s="172">
        <v>0.05</v>
      </c>
      <c r="F56" s="117">
        <f t="shared" si="21"/>
        <v>0.2137931034482759</v>
      </c>
      <c r="G56" s="117">
        <f t="shared" si="22"/>
        <v>4.6222068965517247</v>
      </c>
      <c r="H56" s="173">
        <f t="shared" si="19"/>
        <v>44759</v>
      </c>
      <c r="I56" s="176">
        <v>4.96</v>
      </c>
      <c r="J56" s="81">
        <f t="shared" si="0"/>
        <v>0</v>
      </c>
      <c r="K56" s="80">
        <v>4.62</v>
      </c>
      <c r="L56" s="186">
        <f t="shared" si="18"/>
        <v>2.2068965517245687E-3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47.038525</v>
      </c>
      <c r="E61" s="177"/>
      <c r="F61" s="57">
        <f>SUM(F46:F58)</f>
        <v>0.2137931034482759</v>
      </c>
      <c r="G61" s="57">
        <f>SUM(G46:G58)</f>
        <v>6091.8776818965507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6091.8776818965507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12183.755363793101</v>
      </c>
      <c r="H64" s="184"/>
      <c r="I64" s="175"/>
      <c r="J64" s="81">
        <f t="shared" si="0"/>
        <v>0</v>
      </c>
      <c r="K64" s="80"/>
      <c r="L64" s="186">
        <f t="shared" si="18"/>
        <v>12183.755363793101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11210.68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11079.93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11188.02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-108.09000000000015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222</v>
      </c>
      <c r="P70" s="228">
        <v>244</v>
      </c>
      <c r="Q70" s="228">
        <v>2001</v>
      </c>
      <c r="R70" s="255">
        <v>203.99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1.529925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202.46007500000002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22.659999999999854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223</v>
      </c>
      <c r="P71" s="228" t="s">
        <v>271</v>
      </c>
      <c r="Q71" s="228">
        <v>1001</v>
      </c>
      <c r="R71" s="255">
        <v>140.74</v>
      </c>
      <c r="S71" s="228"/>
      <c r="T71" s="256">
        <v>4.96</v>
      </c>
      <c r="U71" s="189">
        <f t="shared" si="34"/>
        <v>0.2137931034482759</v>
      </c>
      <c r="V71" s="189">
        <f t="shared" si="35"/>
        <v>1.05555</v>
      </c>
      <c r="W71" s="189">
        <f t="shared" si="36"/>
        <v>0</v>
      </c>
      <c r="X71" s="189">
        <f t="shared" si="37"/>
        <v>0.124</v>
      </c>
      <c r="Y71" s="189">
        <f t="shared" si="38"/>
        <v>139.68445</v>
      </c>
      <c r="Z71" s="189">
        <f t="shared" si="38"/>
        <v>0</v>
      </c>
      <c r="AA71" s="189">
        <f t="shared" si="39"/>
        <v>4.6222068965517247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274</v>
      </c>
      <c r="Q72" s="228">
        <v>2003</v>
      </c>
      <c r="R72" s="255">
        <f>481.95+1042.57</f>
        <v>1524.52</v>
      </c>
      <c r="S72" s="228"/>
      <c r="T72" s="228"/>
      <c r="U72" s="189">
        <f t="shared" si="34"/>
        <v>0</v>
      </c>
      <c r="V72" s="189">
        <f t="shared" si="35"/>
        <v>11.4339</v>
      </c>
      <c r="W72" s="189">
        <f t="shared" si="36"/>
        <v>0</v>
      </c>
      <c r="X72" s="189">
        <f t="shared" si="37"/>
        <v>0</v>
      </c>
      <c r="Y72" s="189">
        <f t="shared" si="38"/>
        <v>1513.0861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273</v>
      </c>
      <c r="Q73" s="228">
        <v>2003</v>
      </c>
      <c r="R73" s="255">
        <f>364.86+1204.5</f>
        <v>1569.3600000000001</v>
      </c>
      <c r="S73" s="228"/>
      <c r="T73" s="228"/>
      <c r="U73" s="189">
        <f t="shared" si="34"/>
        <v>0</v>
      </c>
      <c r="V73" s="189">
        <f t="shared" si="35"/>
        <v>11.770200000000001</v>
      </c>
      <c r="W73" s="189">
        <f t="shared" si="36"/>
        <v>0</v>
      </c>
      <c r="X73" s="189">
        <f t="shared" si="37"/>
        <v>0</v>
      </c>
      <c r="Y73" s="189">
        <f t="shared" si="38"/>
        <v>1557.5898000000002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272</v>
      </c>
      <c r="Q74" s="228">
        <v>2002</v>
      </c>
      <c r="R74" s="256">
        <f>1032.17+1495.53</f>
        <v>2527.6999999999998</v>
      </c>
      <c r="S74" s="228"/>
      <c r="T74" s="228"/>
      <c r="U74" s="189">
        <f t="shared" si="34"/>
        <v>0</v>
      </c>
      <c r="V74" s="189">
        <f t="shared" si="35"/>
        <v>18.957749999999997</v>
      </c>
      <c r="W74" s="189">
        <f t="shared" si="36"/>
        <v>0</v>
      </c>
      <c r="X74" s="189">
        <f t="shared" si="37"/>
        <v>0</v>
      </c>
      <c r="Y74" s="189">
        <f t="shared" si="38"/>
        <v>2508.7422499999998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5966.3099999999995</v>
      </c>
      <c r="S75" s="192"/>
      <c r="T75" s="192">
        <f>SUM(T70:T74)</f>
        <v>4.96</v>
      </c>
      <c r="U75" s="192">
        <f>SUM(U70:U74)</f>
        <v>0.2137931034482759</v>
      </c>
      <c r="V75" s="192">
        <f t="shared" ref="V75:AA75" si="41">SUM(V70:V74)</f>
        <v>44.747324999999996</v>
      </c>
      <c r="W75" s="192">
        <f t="shared" si="41"/>
        <v>0</v>
      </c>
      <c r="X75" s="192">
        <f t="shared" si="41"/>
        <v>0.124</v>
      </c>
      <c r="Y75" s="192">
        <f t="shared" si="41"/>
        <v>5921.5626750000001</v>
      </c>
      <c r="Z75" s="192">
        <f t="shared" si="41"/>
        <v>0</v>
      </c>
      <c r="AA75" s="193">
        <f t="shared" si="41"/>
        <v>4.6222068965517247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11</v>
      </c>
      <c r="Q79" s="137"/>
      <c r="R79" s="82">
        <v>7.4999999999999997E-3</v>
      </c>
      <c r="S79" s="194">
        <f t="shared" ref="S79:S97" si="43">+(P79+Q79)*R79</f>
        <v>8.249999999999999E-2</v>
      </c>
      <c r="T79" s="258">
        <f t="shared" ref="T79:T97" si="44">+(P79+Q79)-S79</f>
        <v>10.9175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25.19</v>
      </c>
      <c r="Q80" s="137"/>
      <c r="R80" s="82">
        <v>7.4999999999999997E-3</v>
      </c>
      <c r="S80" s="194">
        <f t="shared" si="43"/>
        <v>0.18892500000000001</v>
      </c>
      <c r="T80" s="258">
        <f t="shared" si="44"/>
        <v>25.001075</v>
      </c>
      <c r="U80" s="211">
        <v>89.36</v>
      </c>
      <c r="V80" s="112"/>
      <c r="W80" s="113">
        <v>1.4999999999999999E-2</v>
      </c>
      <c r="X80" s="196">
        <f t="shared" si="45"/>
        <v>1.3404</v>
      </c>
      <c r="Y80" s="246">
        <f t="shared" si="46"/>
        <v>88.019599999999997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10.57</v>
      </c>
      <c r="Q81" s="137"/>
      <c r="R81" s="82">
        <v>7.4999999999999997E-3</v>
      </c>
      <c r="S81" s="194">
        <f t="shared" si="43"/>
        <v>7.9274999999999998E-2</v>
      </c>
      <c r="T81" s="246">
        <f t="shared" si="44"/>
        <v>10.490724999999999</v>
      </c>
      <c r="U81" s="211">
        <v>31.74</v>
      </c>
      <c r="V81" s="112"/>
      <c r="W81" s="113">
        <v>1.4999999999999999E-2</v>
      </c>
      <c r="X81" s="196">
        <f t="shared" si="45"/>
        <v>0.47609999999999997</v>
      </c>
      <c r="Y81" s="246">
        <f t="shared" si="46"/>
        <v>31.2639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46.76</v>
      </c>
      <c r="Q98" s="195">
        <f>SUM(Q78:Q97)</f>
        <v>0</v>
      </c>
      <c r="R98" s="111"/>
      <c r="S98" s="195">
        <f>SUM(S78:S97)</f>
        <v>0.35070000000000001</v>
      </c>
      <c r="T98" s="195">
        <f>SUM(T78:T97)</f>
        <v>46.409300000000002</v>
      </c>
      <c r="U98" s="114">
        <f>SUM(U78:U97)</f>
        <v>121.1</v>
      </c>
      <c r="V98" s="114">
        <f>SUM(V78:V97)</f>
        <v>0</v>
      </c>
      <c r="W98" s="112"/>
      <c r="X98" s="197">
        <f>SUM(X78:X97)</f>
        <v>1.8165</v>
      </c>
      <c r="Y98" s="197">
        <f>SUM(Y78:Y97)</f>
        <v>119.2835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11</v>
      </c>
    </row>
    <row r="103" spans="14:30" x14ac:dyDescent="0.25">
      <c r="N103" s="85"/>
      <c r="Q103" s="215">
        <f>P80+Q80+U80</f>
        <v>114.55</v>
      </c>
    </row>
    <row r="104" spans="14:30" x14ac:dyDescent="0.25">
      <c r="N104" s="85"/>
      <c r="Q104" s="215">
        <f>P81+Q81+U81</f>
        <v>42.31</v>
      </c>
    </row>
    <row r="105" spans="14:30" x14ac:dyDescent="0.25">
      <c r="N105" s="85"/>
      <c r="Q105" s="236">
        <f t="shared" ref="Q105:Q106" si="50">P82+Q82+U82</f>
        <v>0</v>
      </c>
    </row>
    <row r="106" spans="14:30" x14ac:dyDescent="0.25">
      <c r="N106" s="85"/>
      <c r="Q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5" zoomScaleNormal="100" workbookViewId="0">
      <selection activeCell="A5" sqref="A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44759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</v>
      </c>
      <c r="C8" s="85" t="s">
        <v>94</v>
      </c>
      <c r="D8" s="108"/>
    </row>
    <row r="9" spans="1:28" x14ac:dyDescent="0.25">
      <c r="A9" s="7" t="s">
        <v>78</v>
      </c>
      <c r="B9" s="243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1250.5</v>
      </c>
      <c r="C12" s="15"/>
      <c r="D12" s="56"/>
      <c r="E12" s="16"/>
      <c r="F12" s="56"/>
      <c r="G12" s="56"/>
      <c r="H12" s="17"/>
      <c r="I12" s="83">
        <v>1250.5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929</v>
      </c>
      <c r="C13" s="15"/>
      <c r="D13" s="56"/>
      <c r="E13" s="16"/>
      <c r="F13" s="56"/>
      <c r="G13" s="56"/>
      <c r="H13" s="17"/>
      <c r="I13" s="83">
        <v>929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5295.3</v>
      </c>
      <c r="C14" s="15"/>
      <c r="D14" s="56"/>
      <c r="E14" s="16"/>
      <c r="F14" s="56"/>
      <c r="G14" s="56"/>
      <c r="H14" s="17"/>
      <c r="I14" s="83">
        <v>5295.3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929</v>
      </c>
      <c r="C19" s="95"/>
      <c r="D19" s="94"/>
      <c r="E19" s="96"/>
      <c r="F19" s="94"/>
      <c r="G19" s="94"/>
      <c r="H19" s="98"/>
      <c r="I19" s="99">
        <v>929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5295.3</v>
      </c>
      <c r="C20" s="95"/>
      <c r="D20" s="94"/>
      <c r="E20" s="96"/>
      <c r="F20" s="94"/>
      <c r="G20" s="94"/>
      <c r="H20" s="98"/>
      <c r="I20" s="99">
        <v>5295.3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166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63.29</v>
      </c>
      <c r="C37" s="100"/>
      <c r="D37" s="66"/>
      <c r="E37" s="67"/>
      <c r="F37" s="66"/>
      <c r="G37" s="66"/>
      <c r="H37" s="102"/>
      <c r="I37" s="79">
        <v>63.29</v>
      </c>
      <c r="J37" s="81">
        <f t="shared" si="0"/>
        <v>0</v>
      </c>
      <c r="K37" s="80">
        <f>50+13.29</f>
        <v>63.29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360.75299999999999</v>
      </c>
      <c r="C38" s="100"/>
      <c r="D38" s="66"/>
      <c r="E38" s="67"/>
      <c r="F38" s="66"/>
      <c r="G38" s="66"/>
      <c r="H38" s="102"/>
      <c r="I38" s="79">
        <v>360.75</v>
      </c>
      <c r="J38" s="81">
        <f t="shared" si="0"/>
        <v>2.9999999999859028E-3</v>
      </c>
      <c r="K38" s="80">
        <v>360.75</v>
      </c>
      <c r="L38" s="186">
        <f>K38-B38</f>
        <v>-2.9999999999859028E-3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63.29</v>
      </c>
      <c r="C43" s="95"/>
      <c r="D43" s="94"/>
      <c r="E43" s="96"/>
      <c r="F43" s="94"/>
      <c r="G43" s="94"/>
      <c r="H43" s="98"/>
      <c r="I43" s="99"/>
      <c r="J43" s="185">
        <f t="shared" si="0"/>
        <v>63.29</v>
      </c>
      <c r="K43" s="99">
        <v>63.29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360.75299999999999</v>
      </c>
      <c r="C44" s="95"/>
      <c r="D44" s="94"/>
      <c r="E44" s="96"/>
      <c r="F44" s="94"/>
      <c r="G44" s="94"/>
      <c r="H44" s="98"/>
      <c r="I44" s="99"/>
      <c r="J44" s="185">
        <f t="shared" si="0"/>
        <v>360.75299999999999</v>
      </c>
      <c r="K44" s="99">
        <v>360.75</v>
      </c>
      <c r="L44" s="187">
        <f>K44-B44</f>
        <v>-2.9999999999859028E-3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6426.6900000000005</v>
      </c>
      <c r="C49" s="116">
        <v>7.4999999999999997E-3</v>
      </c>
      <c r="D49" s="117">
        <f t="shared" si="17"/>
        <v>48.200175000000002</v>
      </c>
      <c r="E49" s="172">
        <v>0</v>
      </c>
      <c r="F49" s="117">
        <f t="shared" si="15"/>
        <v>0</v>
      </c>
      <c r="G49" s="117">
        <f t="shared" si="16"/>
        <v>6378.4898250000006</v>
      </c>
      <c r="H49" s="173">
        <f t="shared" si="19"/>
        <v>44760</v>
      </c>
      <c r="I49" s="176">
        <f>2143.45+4283.24</f>
        <v>6426.69</v>
      </c>
      <c r="J49" s="81">
        <f t="shared" si="0"/>
        <v>0</v>
      </c>
      <c r="K49" s="80">
        <v>6378.49</v>
      </c>
      <c r="L49" s="186">
        <f t="shared" si="18"/>
        <v>-1.7499999921710696E-4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121.27000000000001</v>
      </c>
      <c r="C50" s="116">
        <v>7.4999999999999997E-3</v>
      </c>
      <c r="D50" s="117">
        <f t="shared" si="17"/>
        <v>0.90952500000000003</v>
      </c>
      <c r="E50" s="172">
        <v>0</v>
      </c>
      <c r="F50" s="117">
        <f t="shared" si="15"/>
        <v>0</v>
      </c>
      <c r="G50" s="117">
        <f t="shared" si="16"/>
        <v>120.36047500000001</v>
      </c>
      <c r="H50" s="173">
        <f t="shared" si="19"/>
        <v>44760</v>
      </c>
      <c r="I50" s="175"/>
      <c r="J50" s="81">
        <f t="shared" si="0"/>
        <v>121.27000000000001</v>
      </c>
      <c r="K50" s="80"/>
      <c r="L50" s="186">
        <f t="shared" si="18"/>
        <v>120.36047500000001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107.77</v>
      </c>
      <c r="C51" s="116">
        <v>1.4999999999999999E-2</v>
      </c>
      <c r="D51" s="117">
        <f>+B51*C51</f>
        <v>1.6165499999999999</v>
      </c>
      <c r="E51" s="172">
        <v>0</v>
      </c>
      <c r="F51" s="117">
        <f>D51*E51</f>
        <v>0</v>
      </c>
      <c r="G51" s="117">
        <f t="shared" si="16"/>
        <v>106.15344999999999</v>
      </c>
      <c r="H51" s="173">
        <f t="shared" si="19"/>
        <v>44760</v>
      </c>
      <c r="I51" s="175">
        <v>228.97</v>
      </c>
      <c r="J51" s="81">
        <f t="shared" si="0"/>
        <v>-121.2</v>
      </c>
      <c r="K51" s="80"/>
      <c r="L51" s="186">
        <f t="shared" si="18"/>
        <v>106.15344999999999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67.81</v>
      </c>
      <c r="C56" s="116">
        <v>2.5000000000000001E-2</v>
      </c>
      <c r="D56" s="117">
        <f t="shared" si="20"/>
        <v>1.6952500000000001</v>
      </c>
      <c r="E56" s="172">
        <v>0.05</v>
      </c>
      <c r="F56" s="117">
        <f t="shared" si="21"/>
        <v>2.9228448275862071</v>
      </c>
      <c r="G56" s="117">
        <f t="shared" si="22"/>
        <v>63.191905172413797</v>
      </c>
      <c r="H56" s="173">
        <f t="shared" si="19"/>
        <v>44760</v>
      </c>
      <c r="I56" s="176">
        <f>7.7+60.11</f>
        <v>67.81</v>
      </c>
      <c r="J56" s="81">
        <f t="shared" si="0"/>
        <v>0</v>
      </c>
      <c r="K56" s="80">
        <v>63.19</v>
      </c>
      <c r="L56" s="186">
        <f t="shared" si="18"/>
        <v>1.9051724137995052E-3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52.421500000000002</v>
      </c>
      <c r="E61" s="177"/>
      <c r="F61" s="57">
        <f>SUM(F46:F58)</f>
        <v>2.9228448275862071</v>
      </c>
      <c r="G61" s="57">
        <f>SUM(G46:G58)</f>
        <v>6668.1956551724143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6668.1956551724143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13336.391310344829</v>
      </c>
      <c r="H64" s="184"/>
      <c r="I64" s="175"/>
      <c r="J64" s="81">
        <f t="shared" si="0"/>
        <v>0</v>
      </c>
      <c r="K64" s="80"/>
      <c r="L64" s="186">
        <f t="shared" si="18"/>
        <v>13336.391310344829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13630.093000000001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13476.48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13623.31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-146.82999999999993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268</v>
      </c>
      <c r="Q70" s="228">
        <v>2001</v>
      </c>
      <c r="R70" s="255">
        <f>767.71+464.81</f>
        <v>1232.52</v>
      </c>
      <c r="S70" s="228"/>
      <c r="T70" s="260">
        <v>7.7</v>
      </c>
      <c r="U70" s="189">
        <f t="shared" ref="U70:U74" si="34">((T70/U$10)*U$9)</f>
        <v>0.33189655172413796</v>
      </c>
      <c r="V70" s="189">
        <f t="shared" ref="V70:V74" si="35">R70*V$10</f>
        <v>9.2439</v>
      </c>
      <c r="W70" s="189">
        <f t="shared" ref="W70:W74" si="36">+S70*V$10</f>
        <v>0</v>
      </c>
      <c r="X70" s="189">
        <f t="shared" ref="X70:X74" si="37">+T70*X$10</f>
        <v>0.1925</v>
      </c>
      <c r="Y70" s="189">
        <f t="shared" ref="Y70:Z74" si="38">R70-V70</f>
        <v>1223.2761</v>
      </c>
      <c r="Z70" s="189">
        <f t="shared" si="38"/>
        <v>0</v>
      </c>
      <c r="AA70" s="189">
        <f t="shared" ref="AA70:AA74" si="39">T70-U70-X70</f>
        <v>7.1756034482758624</v>
      </c>
      <c r="AB70" s="87"/>
    </row>
    <row r="71" spans="1:30" ht="28.5" customHeight="1" thickBot="1" x14ac:dyDescent="0.3">
      <c r="A71" s="25" t="s">
        <v>57</v>
      </c>
      <c r="B71" s="70">
        <f>(B65-B69)-B72</f>
        <v>6.783000000001266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219</v>
      </c>
      <c r="Q71" s="228">
        <v>2001</v>
      </c>
      <c r="R71" s="255">
        <v>910.93</v>
      </c>
      <c r="S71" s="228"/>
      <c r="T71" s="222"/>
      <c r="U71" s="189">
        <f t="shared" si="34"/>
        <v>0</v>
      </c>
      <c r="V71" s="189">
        <f t="shared" si="35"/>
        <v>6.831974999999999</v>
      </c>
      <c r="W71" s="189">
        <f t="shared" si="36"/>
        <v>0</v>
      </c>
      <c r="X71" s="189">
        <f t="shared" si="37"/>
        <v>0</v>
      </c>
      <c r="Y71" s="189">
        <f t="shared" si="38"/>
        <v>904.09802500000001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43</v>
      </c>
      <c r="Q72" s="228">
        <v>2003</v>
      </c>
      <c r="R72" s="256">
        <v>635.22</v>
      </c>
      <c r="S72" s="228"/>
      <c r="T72" s="228"/>
      <c r="U72" s="189">
        <f t="shared" si="34"/>
        <v>0</v>
      </c>
      <c r="V72" s="189">
        <f t="shared" si="35"/>
        <v>4.7641499999999999</v>
      </c>
      <c r="W72" s="189">
        <f t="shared" si="36"/>
        <v>0</v>
      </c>
      <c r="X72" s="189">
        <f t="shared" si="37"/>
        <v>0</v>
      </c>
      <c r="Y72" s="189">
        <f t="shared" si="38"/>
        <v>630.45585000000005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270</v>
      </c>
      <c r="Q73" s="228">
        <v>2003</v>
      </c>
      <c r="R73" s="238">
        <f>593.15+1098.73</f>
        <v>1691.88</v>
      </c>
      <c r="S73" s="228"/>
      <c r="T73" s="222"/>
      <c r="U73" s="189">
        <f t="shared" si="34"/>
        <v>0</v>
      </c>
      <c r="V73" s="189">
        <f t="shared" si="35"/>
        <v>12.6891</v>
      </c>
      <c r="W73" s="189">
        <f t="shared" si="36"/>
        <v>0</v>
      </c>
      <c r="X73" s="189">
        <f t="shared" si="37"/>
        <v>0</v>
      </c>
      <c r="Y73" s="189">
        <f t="shared" si="38"/>
        <v>1679.1909000000001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269</v>
      </c>
      <c r="Q74" s="228">
        <v>2002</v>
      </c>
      <c r="R74" s="255">
        <f>841.55+1114.59</f>
        <v>1956.1399999999999</v>
      </c>
      <c r="S74" s="228"/>
      <c r="T74" s="256">
        <v>60.11</v>
      </c>
      <c r="U74" s="189">
        <f t="shared" si="34"/>
        <v>2.5909482758620692</v>
      </c>
      <c r="V74" s="189">
        <f t="shared" si="35"/>
        <v>14.671049999999999</v>
      </c>
      <c r="W74" s="189">
        <f t="shared" si="36"/>
        <v>0</v>
      </c>
      <c r="X74" s="189">
        <f t="shared" si="37"/>
        <v>1.50275</v>
      </c>
      <c r="Y74" s="189">
        <f t="shared" si="38"/>
        <v>1941.4689499999999</v>
      </c>
      <c r="Z74" s="189">
        <f t="shared" si="38"/>
        <v>0</v>
      </c>
      <c r="AA74" s="189">
        <f t="shared" si="39"/>
        <v>56.016301724137932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6426.6900000000005</v>
      </c>
      <c r="S75" s="192"/>
      <c r="T75" s="192">
        <f>SUM(T70:T74)</f>
        <v>67.81</v>
      </c>
      <c r="U75" s="192">
        <f>SUM(U70:U74)</f>
        <v>2.9228448275862071</v>
      </c>
      <c r="V75" s="192">
        <f t="shared" ref="V75:AA75" si="41">SUM(V70:V74)</f>
        <v>48.200175000000002</v>
      </c>
      <c r="W75" s="192">
        <f t="shared" si="41"/>
        <v>0</v>
      </c>
      <c r="X75" s="192">
        <f t="shared" si="41"/>
        <v>1.6952500000000001</v>
      </c>
      <c r="Y75" s="192">
        <f t="shared" si="41"/>
        <v>6378.4898250000006</v>
      </c>
      <c r="Z75" s="192">
        <f t="shared" si="41"/>
        <v>0</v>
      </c>
      <c r="AA75" s="193">
        <f t="shared" si="41"/>
        <v>63.191905172413797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46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4.96</v>
      </c>
      <c r="Q80" s="87">
        <f>0.01</f>
        <v>0.01</v>
      </c>
      <c r="R80" s="82">
        <v>7.4999999999999997E-3</v>
      </c>
      <c r="S80" s="194">
        <f t="shared" si="43"/>
        <v>3.7274999999999996E-2</v>
      </c>
      <c r="T80" s="219">
        <f t="shared" si="44"/>
        <v>4.9327249999999996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42.41</v>
      </c>
      <c r="V81" s="112"/>
      <c r="W81" s="113">
        <v>1.4999999999999999E-2</v>
      </c>
      <c r="X81" s="196">
        <f t="shared" si="45"/>
        <v>0.63614999999999988</v>
      </c>
      <c r="Y81" s="246">
        <f t="shared" si="46"/>
        <v>41.773849999999996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>
        <v>65.36</v>
      </c>
      <c r="V82" s="112"/>
      <c r="W82" s="113">
        <v>1.4999999999999999E-2</v>
      </c>
      <c r="X82" s="196">
        <f t="shared" si="45"/>
        <v>0.98039999999999994</v>
      </c>
      <c r="Y82" s="246">
        <f t="shared" si="46"/>
        <v>64.379599999999996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>
        <v>16.57</v>
      </c>
      <c r="Q84" s="87"/>
      <c r="R84" s="82">
        <v>7.4999999999999997E-3</v>
      </c>
      <c r="S84" s="194">
        <f t="shared" si="43"/>
        <v>0.124275</v>
      </c>
      <c r="T84" s="246">
        <f t="shared" si="44"/>
        <v>16.445724999999999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>
        <v>99.73</v>
      </c>
      <c r="Q85" s="87"/>
      <c r="R85" s="82">
        <v>7.4999999999999997E-3</v>
      </c>
      <c r="S85" s="194">
        <f t="shared" si="43"/>
        <v>0.74797500000000006</v>
      </c>
      <c r="T85" s="246">
        <f t="shared" si="44"/>
        <v>98.982025000000007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121.26</v>
      </c>
      <c r="Q98" s="195">
        <f>SUM(Q78:Q97)</f>
        <v>0.01</v>
      </c>
      <c r="R98" s="111"/>
      <c r="S98" s="195">
        <f>SUM(S78:S97)</f>
        <v>0.90952500000000003</v>
      </c>
      <c r="T98" s="195">
        <f>SUM(T78:T97)</f>
        <v>120.36047500000001</v>
      </c>
      <c r="U98" s="114">
        <f>SUM(U78:U97)</f>
        <v>107.77</v>
      </c>
      <c r="V98" s="114">
        <f>SUM(V78:V97)</f>
        <v>0</v>
      </c>
      <c r="W98" s="112"/>
      <c r="X98" s="197">
        <f>SUM(X78:X97)</f>
        <v>1.6165499999999997</v>
      </c>
      <c r="Y98" s="197">
        <f>SUM(Y78:Y97)</f>
        <v>106.15344999999999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0</v>
      </c>
    </row>
    <row r="101" spans="14:30" x14ac:dyDescent="0.25">
      <c r="N101" s="85"/>
      <c r="R101" s="215">
        <f>P79+Q79+U79</f>
        <v>0</v>
      </c>
    </row>
    <row r="102" spans="14:30" x14ac:dyDescent="0.25">
      <c r="N102" s="85"/>
      <c r="R102" s="212">
        <f>P80+Q80+U80</f>
        <v>4.97</v>
      </c>
    </row>
    <row r="103" spans="14:30" x14ac:dyDescent="0.25">
      <c r="N103" s="85"/>
      <c r="R103" s="212">
        <f>P81+Q81+U81</f>
        <v>42.41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6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666.5</v>
      </c>
      <c r="C12" s="15"/>
      <c r="D12" s="56"/>
      <c r="E12" s="16"/>
      <c r="F12" s="56"/>
      <c r="G12" s="56"/>
      <c r="H12" s="17"/>
      <c r="I12" s="83">
        <v>666.5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369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369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2103.3000000000002</v>
      </c>
      <c r="C14" s="15"/>
      <c r="D14" s="56"/>
      <c r="E14" s="16"/>
      <c r="F14" s="56"/>
      <c r="G14" s="56"/>
      <c r="H14" s="17"/>
      <c r="I14" s="83"/>
      <c r="J14" s="81">
        <f t="shared" si="0"/>
        <v>2103.3000000000002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369</v>
      </c>
      <c r="C19" s="95"/>
      <c r="D19" s="94"/>
      <c r="E19" s="96"/>
      <c r="F19" s="94"/>
      <c r="G19" s="94"/>
      <c r="H19" s="98"/>
      <c r="I19" s="99">
        <v>369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2103.3000000000002</v>
      </c>
      <c r="C20" s="95"/>
      <c r="D20" s="94"/>
      <c r="E20" s="96"/>
      <c r="F20" s="94"/>
      <c r="G20" s="94"/>
      <c r="H20" s="98"/>
      <c r="I20" s="99">
        <v>2103.3000000000002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23.9</v>
      </c>
      <c r="C37" s="100"/>
      <c r="D37" s="66"/>
      <c r="E37" s="67"/>
      <c r="F37" s="66"/>
      <c r="G37" s="66"/>
      <c r="H37" s="102"/>
      <c r="I37" s="79">
        <v>23.9</v>
      </c>
      <c r="J37" s="81">
        <f t="shared" si="0"/>
        <v>0</v>
      </c>
      <c r="K37" s="80">
        <v>23.9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136.22999999999999</v>
      </c>
      <c r="C38" s="100"/>
      <c r="D38" s="66"/>
      <c r="E38" s="67"/>
      <c r="F38" s="66"/>
      <c r="G38" s="66"/>
      <c r="H38" s="102"/>
      <c r="I38" s="79">
        <v>136.22999999999999</v>
      </c>
      <c r="J38" s="81">
        <f t="shared" si="0"/>
        <v>0</v>
      </c>
      <c r="K38" s="80">
        <v>136.22999999999999</v>
      </c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23.9</v>
      </c>
      <c r="C43" s="95"/>
      <c r="D43" s="94"/>
      <c r="E43" s="96"/>
      <c r="F43" s="94"/>
      <c r="G43" s="94"/>
      <c r="H43" s="98"/>
      <c r="I43" s="99">
        <v>23.9</v>
      </c>
      <c r="J43" s="185">
        <f t="shared" si="0"/>
        <v>0</v>
      </c>
      <c r="K43" s="99">
        <v>23.9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136.22999999999999</v>
      </c>
      <c r="C44" s="95"/>
      <c r="D44" s="94"/>
      <c r="E44" s="96"/>
      <c r="F44" s="94"/>
      <c r="G44" s="94"/>
      <c r="H44" s="98"/>
      <c r="I44" s="244">
        <v>136.22999999999999</v>
      </c>
      <c r="J44" s="185">
        <f t="shared" si="0"/>
        <v>0</v>
      </c>
      <c r="K44" s="244">
        <v>136.22999999999999</v>
      </c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4293.05</v>
      </c>
      <c r="C49" s="116">
        <v>7.4999999999999997E-3</v>
      </c>
      <c r="D49" s="117">
        <f t="shared" si="17"/>
        <v>32.197875000000003</v>
      </c>
      <c r="E49" s="172">
        <v>0</v>
      </c>
      <c r="F49" s="117">
        <f t="shared" si="15"/>
        <v>0</v>
      </c>
      <c r="G49" s="117">
        <f t="shared" si="16"/>
        <v>4260.8521250000003</v>
      </c>
      <c r="H49" s="173">
        <f t="shared" si="19"/>
        <v>44761</v>
      </c>
      <c r="I49" s="176">
        <f>393.14+3899.91</f>
        <v>4293.05</v>
      </c>
      <c r="J49" s="81">
        <f t="shared" si="0"/>
        <v>0</v>
      </c>
      <c r="K49" s="80"/>
      <c r="L49" s="186">
        <f t="shared" si="18"/>
        <v>4260.8521250000003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101.13000000000001</v>
      </c>
      <c r="C50" s="116">
        <v>7.4999999999999997E-3</v>
      </c>
      <c r="D50" s="117">
        <f t="shared" si="17"/>
        <v>0.75847500000000001</v>
      </c>
      <c r="E50" s="172">
        <v>0</v>
      </c>
      <c r="F50" s="117">
        <f t="shared" si="15"/>
        <v>0</v>
      </c>
      <c r="G50" s="117">
        <f t="shared" si="16"/>
        <v>100.37152500000001</v>
      </c>
      <c r="H50" s="173">
        <f t="shared" si="19"/>
        <v>44761</v>
      </c>
      <c r="I50" s="175"/>
      <c r="J50" s="81">
        <f t="shared" si="0"/>
        <v>101.13000000000001</v>
      </c>
      <c r="K50" s="80">
        <v>100.37</v>
      </c>
      <c r="L50" s="186">
        <f t="shared" si="18"/>
        <v>1.5250000000008868E-3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255.83</v>
      </c>
      <c r="C51" s="116">
        <v>1.4999999999999999E-2</v>
      </c>
      <c r="D51" s="117">
        <f>+B51*C51</f>
        <v>3.83745</v>
      </c>
      <c r="E51" s="172">
        <v>0</v>
      </c>
      <c r="F51" s="117">
        <f>D51*E51</f>
        <v>0</v>
      </c>
      <c r="G51" s="117">
        <f t="shared" si="16"/>
        <v>251.99255000000002</v>
      </c>
      <c r="H51" s="173">
        <f t="shared" si="19"/>
        <v>44761</v>
      </c>
      <c r="I51" s="175">
        <v>356.96</v>
      </c>
      <c r="J51" s="81">
        <f t="shared" si="0"/>
        <v>-101.12999999999997</v>
      </c>
      <c r="K51" s="80">
        <v>251.99</v>
      </c>
      <c r="L51" s="186">
        <f t="shared" si="18"/>
        <v>2.5500000000135969E-3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35.61</v>
      </c>
      <c r="C56" s="116">
        <v>2.5000000000000001E-2</v>
      </c>
      <c r="D56" s="117">
        <f t="shared" si="20"/>
        <v>0.89024999999999999</v>
      </c>
      <c r="E56" s="172">
        <v>0.05</v>
      </c>
      <c r="F56" s="117">
        <f t="shared" si="21"/>
        <v>1.5349137931034484</v>
      </c>
      <c r="G56" s="117">
        <f t="shared" si="22"/>
        <v>33.184836206896549</v>
      </c>
      <c r="H56" s="173">
        <f t="shared" si="19"/>
        <v>44761</v>
      </c>
      <c r="I56" s="176">
        <f>23.32+12.29</f>
        <v>35.61</v>
      </c>
      <c r="J56" s="81">
        <f t="shared" si="0"/>
        <v>0</v>
      </c>
      <c r="K56" s="80"/>
      <c r="L56" s="186">
        <f t="shared" si="18"/>
        <v>33.184836206896549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37.684049999999999</v>
      </c>
      <c r="E61" s="177"/>
      <c r="F61" s="57">
        <f>SUM(F46:F58)</f>
        <v>1.5349137931034484</v>
      </c>
      <c r="G61" s="57">
        <f>SUM(G46:G58)</f>
        <v>4646.4010362068966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4646.4010362068966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9292.8020724137932</v>
      </c>
      <c r="H64" s="184"/>
      <c r="I64" s="175"/>
      <c r="J64" s="81">
        <f t="shared" si="0"/>
        <v>0</v>
      </c>
      <c r="K64" s="80"/>
      <c r="L64" s="186">
        <f t="shared" si="18"/>
        <v>9292.8020724137932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7591.65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7531.37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7584.98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-53.609999999999673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95</v>
      </c>
      <c r="Q70" s="228">
        <v>1001</v>
      </c>
      <c r="R70" s="255">
        <v>303.2</v>
      </c>
      <c r="S70" s="228"/>
      <c r="T70" s="256">
        <v>8.86</v>
      </c>
      <c r="U70" s="189">
        <f t="shared" ref="U70:U74" si="34">((T70/U$10)*U$9)</f>
        <v>0.38189655172413794</v>
      </c>
      <c r="V70" s="189">
        <f t="shared" ref="V70:V74" si="35">R70*V$10</f>
        <v>2.274</v>
      </c>
      <c r="W70" s="189">
        <f t="shared" ref="W70:W74" si="36">+S70*V$10</f>
        <v>0</v>
      </c>
      <c r="X70" s="189">
        <f t="shared" ref="X70:X74" si="37">+T70*X$10</f>
        <v>0.2215</v>
      </c>
      <c r="Y70" s="189">
        <f t="shared" ref="Y70:Z74" si="38">R70-V70</f>
        <v>300.92599999999999</v>
      </c>
      <c r="Z70" s="189">
        <f t="shared" si="38"/>
        <v>0</v>
      </c>
      <c r="AA70" s="189">
        <f t="shared" ref="AA70:AA74" si="39">T70-U70-X70</f>
        <v>8.256603448275861</v>
      </c>
      <c r="AB70" s="87"/>
    </row>
    <row r="71" spans="1:30" ht="28.5" customHeight="1" thickBot="1" x14ac:dyDescent="0.3">
      <c r="A71" s="25" t="s">
        <v>57</v>
      </c>
      <c r="B71" s="70">
        <f>(B65-B69)-B72</f>
        <v>6.6700000000000728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123</v>
      </c>
      <c r="Q71" s="228">
        <v>1001</v>
      </c>
      <c r="R71" s="255">
        <v>89.94</v>
      </c>
      <c r="S71" s="228"/>
      <c r="T71" s="256">
        <v>3.43</v>
      </c>
      <c r="U71" s="189">
        <f t="shared" si="34"/>
        <v>0.14784482758620693</v>
      </c>
      <c r="V71" s="189">
        <f t="shared" si="35"/>
        <v>0.67454999999999998</v>
      </c>
      <c r="W71" s="189">
        <f t="shared" si="36"/>
        <v>0</v>
      </c>
      <c r="X71" s="189">
        <f t="shared" si="37"/>
        <v>8.5750000000000007E-2</v>
      </c>
      <c r="Y71" s="189">
        <f t="shared" si="38"/>
        <v>89.265450000000001</v>
      </c>
      <c r="Z71" s="189">
        <f t="shared" si="38"/>
        <v>0</v>
      </c>
      <c r="AA71" s="189">
        <f t="shared" si="39"/>
        <v>3.1964051724137934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275</v>
      </c>
      <c r="Q72" s="228">
        <v>2003</v>
      </c>
      <c r="R72" s="222">
        <f>238.67+988.5</f>
        <v>1227.17</v>
      </c>
      <c r="S72" s="228"/>
      <c r="T72" s="228">
        <v>23.32</v>
      </c>
      <c r="U72" s="189">
        <f t="shared" si="34"/>
        <v>1.0051724137931035</v>
      </c>
      <c r="V72" s="189">
        <f t="shared" si="35"/>
        <v>9.2037750000000003</v>
      </c>
      <c r="W72" s="189">
        <f t="shared" si="36"/>
        <v>0</v>
      </c>
      <c r="X72" s="189">
        <f t="shared" si="37"/>
        <v>0.58300000000000007</v>
      </c>
      <c r="Y72" s="189">
        <f t="shared" si="38"/>
        <v>1217.9662250000001</v>
      </c>
      <c r="Z72" s="189">
        <f t="shared" si="38"/>
        <v>0</v>
      </c>
      <c r="AA72" s="189">
        <f t="shared" si="39"/>
        <v>21.731827586206897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46</v>
      </c>
      <c r="Q73" s="228">
        <v>2003</v>
      </c>
      <c r="R73" s="222">
        <v>996.29</v>
      </c>
      <c r="S73" s="228"/>
      <c r="T73" s="228"/>
      <c r="U73" s="189">
        <f t="shared" si="34"/>
        <v>0</v>
      </c>
      <c r="V73" s="189">
        <f t="shared" si="35"/>
        <v>7.4721749999999991</v>
      </c>
      <c r="W73" s="189">
        <f t="shared" si="36"/>
        <v>0</v>
      </c>
      <c r="X73" s="189">
        <f t="shared" si="37"/>
        <v>0</v>
      </c>
      <c r="Y73" s="189">
        <f t="shared" si="38"/>
        <v>988.81782499999997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>
        <v>726</v>
      </c>
      <c r="Q74" s="228">
        <v>2002</v>
      </c>
      <c r="R74" s="222">
        <v>1676.45</v>
      </c>
      <c r="S74" s="228"/>
      <c r="T74" s="222"/>
      <c r="U74" s="189">
        <f t="shared" si="34"/>
        <v>0</v>
      </c>
      <c r="V74" s="189">
        <f t="shared" si="35"/>
        <v>12.573375</v>
      </c>
      <c r="W74" s="189">
        <f t="shared" si="36"/>
        <v>0</v>
      </c>
      <c r="X74" s="189">
        <f t="shared" si="37"/>
        <v>0</v>
      </c>
      <c r="Y74" s="189">
        <f t="shared" si="38"/>
        <v>1663.8766250000001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4293.05</v>
      </c>
      <c r="S75" s="192"/>
      <c r="T75" s="192">
        <f>SUM(T70:T74)</f>
        <v>35.61</v>
      </c>
      <c r="U75" s="192">
        <f>SUM(U70:U74)</f>
        <v>1.5349137931034484</v>
      </c>
      <c r="V75" s="192">
        <f t="shared" ref="V75:AA75" si="41">SUM(V70:V74)</f>
        <v>32.197875000000003</v>
      </c>
      <c r="W75" s="192">
        <f t="shared" si="41"/>
        <v>0</v>
      </c>
      <c r="X75" s="192">
        <f t="shared" si="41"/>
        <v>0.8902500000000001</v>
      </c>
      <c r="Y75" s="192">
        <f t="shared" si="41"/>
        <v>4260.8521250000003</v>
      </c>
      <c r="Z75" s="192">
        <f t="shared" si="41"/>
        <v>0</v>
      </c>
      <c r="AA75" s="193">
        <f t="shared" si="41"/>
        <v>33.184836206896549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50.88</v>
      </c>
      <c r="Q78" s="137"/>
      <c r="R78" s="82">
        <v>7.4999999999999997E-3</v>
      </c>
      <c r="S78" s="216">
        <f>+(P78+Q78)*R78</f>
        <v>0.38159999999999999</v>
      </c>
      <c r="T78" s="246">
        <f>+(P78+Q78)-S78</f>
        <v>50.498400000000004</v>
      </c>
      <c r="U78" s="112">
        <v>212.36</v>
      </c>
      <c r="V78" s="112"/>
      <c r="W78" s="113">
        <v>1.4999999999999999E-2</v>
      </c>
      <c r="X78" s="217">
        <f>+(U78+V78)*W78</f>
        <v>3.1854</v>
      </c>
      <c r="Y78" s="261">
        <f>+(U78+V78)-X78</f>
        <v>209.17460000000003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100.37</v>
      </c>
      <c r="N79" s="87">
        <v>2</v>
      </c>
      <c r="O79" s="87" t="s">
        <v>112</v>
      </c>
      <c r="P79" s="137">
        <v>46.71</v>
      </c>
      <c r="Q79" s="137">
        <v>3.54</v>
      </c>
      <c r="R79" s="82">
        <v>7.4999999999999997E-3</v>
      </c>
      <c r="S79" s="216">
        <f t="shared" ref="S79:S97" si="43">+(P79+Q79)*R79</f>
        <v>0.37687499999999996</v>
      </c>
      <c r="T79" s="246">
        <f t="shared" ref="T79:T97" si="44">+(P79+Q79)-S79</f>
        <v>49.873125000000002</v>
      </c>
      <c r="U79" s="211">
        <v>43.47</v>
      </c>
      <c r="V79" s="112"/>
      <c r="W79" s="113">
        <v>1.4999999999999999E-2</v>
      </c>
      <c r="X79" s="217">
        <f t="shared" ref="X79:X97" si="45">+(U79+V79)*W79</f>
        <v>0.65204999999999991</v>
      </c>
      <c r="Y79" s="253">
        <f t="shared" ref="Y79:Y97" si="46">+(U79+V79)-X79</f>
        <v>42.817949999999996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5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100.37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5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5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23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97.59</v>
      </c>
      <c r="Q98" s="195">
        <f>SUM(Q78:Q97)</f>
        <v>3.54</v>
      </c>
      <c r="R98" s="111"/>
      <c r="S98" s="195">
        <f>SUM(S78:S97)</f>
        <v>0.75847500000000001</v>
      </c>
      <c r="T98" s="195">
        <f>SUM(T78:T97)</f>
        <v>100.37152500000001</v>
      </c>
      <c r="U98" s="114">
        <f>SUM(U78:U97)</f>
        <v>255.83</v>
      </c>
      <c r="V98" s="114">
        <f>SUM(V78:V97)</f>
        <v>0</v>
      </c>
      <c r="W98" s="112"/>
      <c r="X98" s="197">
        <f>SUM(X78:X97)</f>
        <v>3.83745</v>
      </c>
      <c r="Y98" s="197">
        <f>SUM(Y78:Y97)</f>
        <v>251.99255000000002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263.24</v>
      </c>
    </row>
    <row r="102" spans="14:30" x14ac:dyDescent="0.25">
      <c r="N102" s="85"/>
      <c r="P102" s="212">
        <f t="shared" ref="P102:P106" si="50">P79+Q79+U79</f>
        <v>93.72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188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446</v>
      </c>
      <c r="C12" s="15"/>
      <c r="D12" s="56"/>
      <c r="E12" s="16"/>
      <c r="F12" s="56"/>
      <c r="G12" s="56"/>
      <c r="H12" s="17"/>
      <c r="I12" s="83">
        <v>446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394</v>
      </c>
      <c r="C13" s="15"/>
      <c r="D13" s="56"/>
      <c r="E13" s="16"/>
      <c r="F13" s="56"/>
      <c r="G13" s="56"/>
      <c r="H13" s="17"/>
      <c r="I13" s="83">
        <v>394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2245.8000000000002</v>
      </c>
      <c r="C14" s="15"/>
      <c r="D14" s="56"/>
      <c r="E14" s="16"/>
      <c r="F14" s="56"/>
      <c r="G14" s="56"/>
      <c r="H14" s="17"/>
      <c r="I14" s="83">
        <v>2257.62</v>
      </c>
      <c r="J14" s="81">
        <f t="shared" si="0"/>
        <v>-11.819999999999709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394</v>
      </c>
      <c r="C19" s="95"/>
      <c r="D19" s="94"/>
      <c r="E19" s="96"/>
      <c r="F19" s="94"/>
      <c r="G19" s="94"/>
      <c r="H19" s="98"/>
      <c r="I19" s="99">
        <v>394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2245.8000000000002</v>
      </c>
      <c r="C20" s="95"/>
      <c r="D20" s="94"/>
      <c r="E20" s="96"/>
      <c r="F20" s="94"/>
      <c r="G20" s="94"/>
      <c r="H20" s="98"/>
      <c r="I20" s="99">
        <v>2257.62</v>
      </c>
      <c r="J20" s="185">
        <f t="shared" si="0"/>
        <v>-11.819999999999709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3655.21</v>
      </c>
      <c r="C49" s="116">
        <v>7.4999999999999997E-3</v>
      </c>
      <c r="D49" s="117">
        <f t="shared" si="17"/>
        <v>27.414075</v>
      </c>
      <c r="E49" s="172">
        <v>0</v>
      </c>
      <c r="F49" s="117">
        <f t="shared" si="15"/>
        <v>0</v>
      </c>
      <c r="G49" s="117">
        <f t="shared" si="16"/>
        <v>3627.7959249999999</v>
      </c>
      <c r="H49" s="173">
        <f t="shared" si="19"/>
        <v>44762</v>
      </c>
      <c r="I49" s="176">
        <f>3364.47+291.15</f>
        <v>3655.62</v>
      </c>
      <c r="J49" s="81">
        <f t="shared" si="0"/>
        <v>-0.40999999999985448</v>
      </c>
      <c r="K49" s="80"/>
      <c r="L49" s="186">
        <f t="shared" si="18"/>
        <v>3627.7959249999999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102.98999999999998</v>
      </c>
      <c r="C50" s="116">
        <v>7.4999999999999997E-3</v>
      </c>
      <c r="D50" s="117">
        <f t="shared" si="17"/>
        <v>0.77242499999999981</v>
      </c>
      <c r="E50" s="172">
        <v>0</v>
      </c>
      <c r="F50" s="117">
        <f t="shared" si="15"/>
        <v>0</v>
      </c>
      <c r="G50" s="117">
        <f t="shared" si="16"/>
        <v>102.21757499999998</v>
      </c>
      <c r="H50" s="173">
        <f t="shared" si="19"/>
        <v>44762</v>
      </c>
      <c r="I50" s="175"/>
      <c r="J50" s="81">
        <f t="shared" si="0"/>
        <v>102.98999999999998</v>
      </c>
      <c r="K50" s="225">
        <v>102.22</v>
      </c>
      <c r="L50" s="186">
        <f t="shared" si="18"/>
        <v>-2.4250000000165528E-3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122.08</v>
      </c>
      <c r="C51" s="116">
        <v>1.4999999999999999E-2</v>
      </c>
      <c r="D51" s="117">
        <f>+B51*C51</f>
        <v>1.8311999999999999</v>
      </c>
      <c r="E51" s="172">
        <v>0</v>
      </c>
      <c r="F51" s="117">
        <f>D51*E51</f>
        <v>0</v>
      </c>
      <c r="G51" s="117">
        <f t="shared" si="16"/>
        <v>120.2488</v>
      </c>
      <c r="H51" s="173">
        <f t="shared" si="19"/>
        <v>44762</v>
      </c>
      <c r="I51" s="175">
        <v>225.07</v>
      </c>
      <c r="J51" s="81">
        <f t="shared" si="0"/>
        <v>-102.99</v>
      </c>
      <c r="K51" s="80">
        <v>120.25</v>
      </c>
      <c r="L51" s="186">
        <f t="shared" si="18"/>
        <v>-1.1999999999972033E-3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44762</v>
      </c>
      <c r="I56" s="176"/>
      <c r="J56" s="81">
        <f>B56-I56</f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30.017699999999998</v>
      </c>
      <c r="E61" s="177"/>
      <c r="F61" s="57">
        <f>SUM(F46:F58)</f>
        <v>0</v>
      </c>
      <c r="G61" s="57">
        <f>SUM(G46:G58)</f>
        <v>3850.2622999999999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3850.2622999999999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7700.5245999999997</v>
      </c>
      <c r="H64" s="184"/>
      <c r="I64" s="175"/>
      <c r="J64" s="81">
        <f t="shared" si="0"/>
        <v>0</v>
      </c>
      <c r="K64" s="80"/>
      <c r="L64" s="186">
        <f t="shared" si="18"/>
        <v>7700.5245999999997</v>
      </c>
      <c r="M64" s="130"/>
      <c r="N64" s="87">
        <v>1</v>
      </c>
      <c r="O64" s="122" t="s">
        <v>201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6572.08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6516.03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6565.87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-49.840000000000146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248</v>
      </c>
      <c r="Q70" s="228">
        <v>2001</v>
      </c>
      <c r="R70" s="222">
        <v>291.16000000000003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2.1837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288.97630000000004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6.2100000000000364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47</v>
      </c>
      <c r="Q72" s="228">
        <v>2003</v>
      </c>
      <c r="R72" s="222">
        <v>41.94</v>
      </c>
      <c r="S72" s="228"/>
      <c r="T72" s="222"/>
      <c r="U72" s="189">
        <f t="shared" si="34"/>
        <v>0</v>
      </c>
      <c r="V72" s="189">
        <f t="shared" si="35"/>
        <v>0.31455</v>
      </c>
      <c r="W72" s="189">
        <f t="shared" si="36"/>
        <v>0</v>
      </c>
      <c r="X72" s="189">
        <f t="shared" si="37"/>
        <v>0</v>
      </c>
      <c r="Y72" s="189">
        <f t="shared" si="38"/>
        <v>41.625450000000001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277</v>
      </c>
      <c r="Q73" s="228">
        <v>2003</v>
      </c>
      <c r="R73" s="222">
        <f>124.35+1517.46</f>
        <v>1641.81</v>
      </c>
      <c r="S73" s="228"/>
      <c r="T73" s="228"/>
      <c r="U73" s="189">
        <f t="shared" si="34"/>
        <v>0</v>
      </c>
      <c r="V73" s="189">
        <f t="shared" si="35"/>
        <v>12.313574999999998</v>
      </c>
      <c r="W73" s="189">
        <f t="shared" si="36"/>
        <v>0</v>
      </c>
      <c r="X73" s="189">
        <f t="shared" si="37"/>
        <v>0</v>
      </c>
      <c r="Y73" s="189">
        <f t="shared" si="38"/>
        <v>1629.496425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276</v>
      </c>
      <c r="Q74" s="228">
        <v>2002</v>
      </c>
      <c r="R74" s="222">
        <f>972.1+708.2</f>
        <v>1680.3000000000002</v>
      </c>
      <c r="S74" s="228"/>
      <c r="T74" s="228"/>
      <c r="U74" s="189">
        <f t="shared" si="34"/>
        <v>0</v>
      </c>
      <c r="V74" s="189">
        <f t="shared" si="35"/>
        <v>12.602250000000002</v>
      </c>
      <c r="W74" s="189">
        <f t="shared" si="36"/>
        <v>0</v>
      </c>
      <c r="X74" s="189">
        <f t="shared" si="37"/>
        <v>0</v>
      </c>
      <c r="Y74" s="189">
        <f t="shared" si="38"/>
        <v>1667.6977500000003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3655.21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27.414075</v>
      </c>
      <c r="W75" s="192">
        <f t="shared" si="41"/>
        <v>0</v>
      </c>
      <c r="X75" s="192">
        <f t="shared" si="41"/>
        <v>0</v>
      </c>
      <c r="Y75" s="192">
        <f t="shared" si="41"/>
        <v>3627.7959250000004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28.06</v>
      </c>
      <c r="Q78" s="137"/>
      <c r="R78" s="82">
        <v>7.4999999999999997E-3</v>
      </c>
      <c r="S78" s="194">
        <f>+(P78+Q78)*R78</f>
        <v>0.21044999999999997</v>
      </c>
      <c r="T78" s="246">
        <f>+(P78+Q78)-S78</f>
        <v>27.849549999999997</v>
      </c>
      <c r="U78" s="211">
        <v>46.13</v>
      </c>
      <c r="V78" s="112"/>
      <c r="W78" s="113">
        <v>1.4999999999999999E-2</v>
      </c>
      <c r="X78" s="196">
        <f>+(U78+V78)*W78</f>
        <v>0.69195000000000007</v>
      </c>
      <c r="Y78" s="213">
        <f>+(U78+V78)-X78</f>
        <v>45.438050000000004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102.22</v>
      </c>
      <c r="N79" s="87">
        <v>2</v>
      </c>
      <c r="O79" s="87" t="s">
        <v>112</v>
      </c>
      <c r="P79" s="137">
        <v>7.7</v>
      </c>
      <c r="Q79" s="87"/>
      <c r="R79" s="82">
        <v>7.4999999999999997E-3</v>
      </c>
      <c r="S79" s="194">
        <f t="shared" ref="S79:S97" si="43">+(P79+Q79)*R79</f>
        <v>5.7749999999999996E-2</v>
      </c>
      <c r="T79" s="246">
        <f t="shared" ref="T79:T97" si="44">+(P79+Q79)-S79</f>
        <v>7.6422499999999998</v>
      </c>
      <c r="U79" s="211">
        <v>14.7</v>
      </c>
      <c r="V79" s="112"/>
      <c r="W79" s="113">
        <v>1.4999999999999999E-2</v>
      </c>
      <c r="X79" s="196">
        <f t="shared" ref="X79:X97" si="45">+(U79+V79)*W79</f>
        <v>0.22049999999999997</v>
      </c>
      <c r="Y79" s="213">
        <f t="shared" ref="Y79:Y97" si="46">+(U79+V79)-X79</f>
        <v>14.4795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50.66</v>
      </c>
      <c r="Q80" s="137">
        <v>16.57</v>
      </c>
      <c r="R80" s="82">
        <v>7.4999999999999997E-3</v>
      </c>
      <c r="S80" s="194">
        <f t="shared" si="43"/>
        <v>0.50422499999999992</v>
      </c>
      <c r="T80" s="246">
        <f t="shared" si="44"/>
        <v>66.725774999999985</v>
      </c>
      <c r="U80" s="211">
        <v>61.25</v>
      </c>
      <c r="V80" s="112"/>
      <c r="W80" s="113">
        <v>1.4999999999999999E-2</v>
      </c>
      <c r="X80" s="196">
        <f t="shared" si="45"/>
        <v>0.91874999999999996</v>
      </c>
      <c r="Y80" s="253">
        <f t="shared" si="46"/>
        <v>60.331249999999997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102.22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86.419999999999987</v>
      </c>
      <c r="Q98" s="195">
        <f>SUM(Q78:Q97)</f>
        <v>16.57</v>
      </c>
      <c r="R98" s="111"/>
      <c r="S98" s="195">
        <f>SUM(S78:S97)</f>
        <v>0.77242499999999992</v>
      </c>
      <c r="T98" s="195">
        <f>SUM(T78:T97)</f>
        <v>102.21757499999998</v>
      </c>
      <c r="U98" s="114">
        <f>SUM(U78:U97)</f>
        <v>122.08</v>
      </c>
      <c r="V98" s="114">
        <f>SUM(V78:V97)</f>
        <v>0</v>
      </c>
      <c r="W98" s="112"/>
      <c r="X98" s="197">
        <f>SUM(X78:X97)</f>
        <v>1.8311999999999999</v>
      </c>
      <c r="Y98" s="197">
        <f>SUM(Y78:Y97)</f>
        <v>120.2488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74.19</v>
      </c>
    </row>
    <row r="102" spans="14:30" x14ac:dyDescent="0.25">
      <c r="N102" s="85"/>
      <c r="P102" s="215">
        <f>P79+U79</f>
        <v>22.4</v>
      </c>
    </row>
    <row r="103" spans="14:30" x14ac:dyDescent="0.25">
      <c r="N103" s="85"/>
      <c r="P103" s="215">
        <f>P80+Q80+U80</f>
        <v>128.47999999999999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4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44732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330</v>
      </c>
      <c r="C12" s="15"/>
      <c r="D12" s="56"/>
      <c r="E12" s="16"/>
      <c r="F12" s="56"/>
      <c r="G12" s="56"/>
      <c r="H12" s="17"/>
      <c r="I12" s="83">
        <v>330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194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194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1105.8</v>
      </c>
      <c r="C14" s="15"/>
      <c r="D14" s="56"/>
      <c r="E14" s="16"/>
      <c r="F14" s="56"/>
      <c r="G14" s="56"/>
      <c r="H14" s="17"/>
      <c r="I14" s="83"/>
      <c r="J14" s="81">
        <f t="shared" si="0"/>
        <v>1105.8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214</v>
      </c>
      <c r="C15" s="15"/>
      <c r="D15" s="56"/>
      <c r="E15" s="16"/>
      <c r="F15" s="56"/>
      <c r="G15" s="56"/>
      <c r="H15" s="17"/>
      <c r="I15" s="83"/>
      <c r="J15" s="81">
        <f t="shared" si="0"/>
        <v>214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1226.22</v>
      </c>
      <c r="C16" s="15"/>
      <c r="D16" s="56"/>
      <c r="E16" s="16"/>
      <c r="F16" s="56"/>
      <c r="G16" s="56"/>
      <c r="H16" s="17"/>
      <c r="I16" s="83"/>
      <c r="J16" s="81">
        <f t="shared" si="0"/>
        <v>1226.22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408</v>
      </c>
      <c r="C19" s="95"/>
      <c r="D19" s="94"/>
      <c r="E19" s="96"/>
      <c r="F19" s="94"/>
      <c r="G19" s="94"/>
      <c r="H19" s="98"/>
      <c r="I19" s="99">
        <v>408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2332.02</v>
      </c>
      <c r="C20" s="95"/>
      <c r="D20" s="94"/>
      <c r="E20" s="96"/>
      <c r="F20" s="94"/>
      <c r="G20" s="94"/>
      <c r="H20" s="98"/>
      <c r="I20" s="244">
        <v>2337.84</v>
      </c>
      <c r="J20" s="185">
        <f t="shared" si="0"/>
        <v>-5.8200000000001637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 t="s">
        <v>205</v>
      </c>
      <c r="S23" s="160"/>
      <c r="T23" s="155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202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202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202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202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202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3772.5</v>
      </c>
      <c r="C49" s="116">
        <v>7.4999999999999997E-3</v>
      </c>
      <c r="D49" s="117">
        <f t="shared" si="17"/>
        <v>28.293749999999999</v>
      </c>
      <c r="E49" s="172">
        <v>0</v>
      </c>
      <c r="F49" s="117">
        <f t="shared" si="15"/>
        <v>0</v>
      </c>
      <c r="G49" s="117">
        <f t="shared" si="16"/>
        <v>3744.2062500000002</v>
      </c>
      <c r="H49" s="173">
        <f t="shared" si="19"/>
        <v>44733</v>
      </c>
      <c r="I49" s="176">
        <f>793.99+2978.51</f>
        <v>3772.5</v>
      </c>
      <c r="J49" s="81">
        <f t="shared" si="0"/>
        <v>0</v>
      </c>
      <c r="K49" s="80"/>
      <c r="L49" s="186">
        <f>K49-G49</f>
        <v>-3744.2062500000002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62.39</v>
      </c>
      <c r="C50" s="116">
        <v>7.4999999999999997E-3</v>
      </c>
      <c r="D50" s="117">
        <f t="shared" si="17"/>
        <v>0.46792499999999998</v>
      </c>
      <c r="E50" s="172">
        <v>0</v>
      </c>
      <c r="F50" s="117">
        <f t="shared" si="15"/>
        <v>0</v>
      </c>
      <c r="G50" s="117">
        <f t="shared" si="16"/>
        <v>61.922075</v>
      </c>
      <c r="H50" s="173">
        <f t="shared" si="19"/>
        <v>44733</v>
      </c>
      <c r="I50" s="175"/>
      <c r="J50" s="81">
        <f t="shared" si="0"/>
        <v>62.39</v>
      </c>
      <c r="K50" s="80"/>
      <c r="L50" s="186">
        <f t="shared" si="18"/>
        <v>61.922075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136.68</v>
      </c>
      <c r="C51" s="116">
        <v>1.4999999999999999E-2</v>
      </c>
      <c r="D51" s="117">
        <f>+B51*C51</f>
        <v>2.0502000000000002</v>
      </c>
      <c r="E51" s="172">
        <v>0</v>
      </c>
      <c r="F51" s="117">
        <f>D51*E51</f>
        <v>0</v>
      </c>
      <c r="G51" s="117">
        <f t="shared" si="16"/>
        <v>134.62980000000002</v>
      </c>
      <c r="H51" s="173">
        <f t="shared" si="19"/>
        <v>44733</v>
      </c>
      <c r="I51" s="175">
        <v>199.07</v>
      </c>
      <c r="J51" s="81">
        <f t="shared" si="0"/>
        <v>-62.389999999999986</v>
      </c>
      <c r="K51" s="80"/>
      <c r="L51" s="186">
        <f t="shared" si="18"/>
        <v>134.62980000000002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75.75</v>
      </c>
      <c r="C56" s="116">
        <v>2.5000000000000001E-2</v>
      </c>
      <c r="D56" s="117">
        <f t="shared" si="20"/>
        <v>1.89375</v>
      </c>
      <c r="E56" s="172">
        <v>0.05</v>
      </c>
      <c r="F56" s="117">
        <f t="shared" si="21"/>
        <v>3.2650862068965516</v>
      </c>
      <c r="G56" s="117">
        <f t="shared" si="22"/>
        <v>70.591163793103448</v>
      </c>
      <c r="H56" s="173">
        <f t="shared" si="19"/>
        <v>44733</v>
      </c>
      <c r="I56" s="176">
        <v>75.75</v>
      </c>
      <c r="J56" s="81">
        <f t="shared" si="0"/>
        <v>0</v>
      </c>
      <c r="K56" s="80"/>
      <c r="L56" s="186">
        <f t="shared" si="18"/>
        <v>70.591163793103448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32.705624999999998</v>
      </c>
      <c r="E61" s="177"/>
      <c r="F61" s="57">
        <f>SUM(F46:F58)</f>
        <v>3.2650862068965516</v>
      </c>
      <c r="G61" s="57">
        <f>SUM(G46:G58)</f>
        <v>4011.3492887931038</v>
      </c>
      <c r="H61" s="173">
        <f t="shared" si="19"/>
        <v>44733</v>
      </c>
      <c r="I61" s="175"/>
      <c r="J61" s="81">
        <f t="shared" si="0"/>
        <v>0</v>
      </c>
      <c r="K61" s="80"/>
      <c r="L61" s="186">
        <f t="shared" si="18"/>
        <v>4011.3492887931038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44733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8022.6985775862076</v>
      </c>
      <c r="H64" s="184"/>
      <c r="I64" s="175"/>
      <c r="J64" s="81">
        <f t="shared" si="0"/>
        <v>0</v>
      </c>
      <c r="K64" s="80"/>
      <c r="L64" s="186">
        <f t="shared" si="18"/>
        <v>8022.6985775862076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6709.3400000000011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6645.29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6703.42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-58.130000000000109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278</v>
      </c>
      <c r="Q70" s="228">
        <v>2001</v>
      </c>
      <c r="R70" s="222">
        <f>66.92+101.3</f>
        <v>168.22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1.2616499999999999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166.95835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5.9200000000009823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249</v>
      </c>
      <c r="Q71" s="228">
        <v>2001</v>
      </c>
      <c r="R71" s="222">
        <v>625.77</v>
      </c>
      <c r="S71" s="228"/>
      <c r="T71" s="228"/>
      <c r="U71" s="189">
        <f t="shared" si="34"/>
        <v>0</v>
      </c>
      <c r="V71" s="189">
        <f t="shared" si="35"/>
        <v>4.6932749999999999</v>
      </c>
      <c r="W71" s="189">
        <f t="shared" si="36"/>
        <v>0</v>
      </c>
      <c r="X71" s="189">
        <f t="shared" si="37"/>
        <v>0</v>
      </c>
      <c r="Y71" s="189">
        <f t="shared" si="38"/>
        <v>621.07672500000001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729</v>
      </c>
      <c r="Q72" s="228">
        <v>2002</v>
      </c>
      <c r="R72" s="222">
        <v>355.37</v>
      </c>
      <c r="S72" s="228"/>
      <c r="T72" s="228"/>
      <c r="U72" s="189">
        <f t="shared" si="34"/>
        <v>0</v>
      </c>
      <c r="V72" s="189">
        <f t="shared" si="35"/>
        <v>2.6652749999999998</v>
      </c>
      <c r="W72" s="189">
        <f t="shared" si="36"/>
        <v>0</v>
      </c>
      <c r="X72" s="189">
        <f t="shared" si="37"/>
        <v>0</v>
      </c>
      <c r="Y72" s="189">
        <f t="shared" si="38"/>
        <v>352.704725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730</v>
      </c>
      <c r="Q73" s="228">
        <v>2002</v>
      </c>
      <c r="R73" s="222">
        <v>863.21</v>
      </c>
      <c r="S73" s="228"/>
      <c r="T73" s="222"/>
      <c r="U73" s="189">
        <f t="shared" si="34"/>
        <v>0</v>
      </c>
      <c r="V73" s="189">
        <f t="shared" si="35"/>
        <v>6.474075</v>
      </c>
      <c r="W73" s="189">
        <f t="shared" si="36"/>
        <v>0</v>
      </c>
      <c r="X73" s="189">
        <f t="shared" si="37"/>
        <v>0</v>
      </c>
      <c r="Y73" s="189">
        <f t="shared" si="38"/>
        <v>856.73592500000007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279</v>
      </c>
      <c r="Q74" s="228">
        <v>2001</v>
      </c>
      <c r="R74" s="222">
        <f>606.05+1153.88</f>
        <v>1759.93</v>
      </c>
      <c r="S74" s="228"/>
      <c r="T74" s="228">
        <v>75.75</v>
      </c>
      <c r="U74" s="189">
        <f t="shared" si="34"/>
        <v>3.2650862068965516</v>
      </c>
      <c r="V74" s="189">
        <f t="shared" si="35"/>
        <v>13.199475</v>
      </c>
      <c r="W74" s="189">
        <f t="shared" si="36"/>
        <v>0</v>
      </c>
      <c r="X74" s="189">
        <f t="shared" si="37"/>
        <v>1.89375</v>
      </c>
      <c r="Y74" s="189">
        <f t="shared" si="38"/>
        <v>1746.7305250000002</v>
      </c>
      <c r="Z74" s="189">
        <f t="shared" si="38"/>
        <v>0</v>
      </c>
      <c r="AA74" s="189">
        <f t="shared" si="39"/>
        <v>70.591163793103448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3772.5</v>
      </c>
      <c r="S75" s="192"/>
      <c r="T75" s="192">
        <f>SUM(T70:T74)</f>
        <v>75.75</v>
      </c>
      <c r="U75" s="192">
        <f>SUM(U70:U74)</f>
        <v>3.2650862068965516</v>
      </c>
      <c r="V75" s="192">
        <f t="shared" ref="V75:AA75" si="41">SUM(V70:V74)</f>
        <v>28.293749999999999</v>
      </c>
      <c r="W75" s="192">
        <f t="shared" si="41"/>
        <v>0</v>
      </c>
      <c r="X75" s="192">
        <f t="shared" si="41"/>
        <v>1.89375</v>
      </c>
      <c r="Y75" s="192">
        <f t="shared" si="41"/>
        <v>3744.2062500000002</v>
      </c>
      <c r="Z75" s="192">
        <f t="shared" si="41"/>
        <v>0</v>
      </c>
      <c r="AA75" s="193">
        <f t="shared" si="41"/>
        <v>70.591163793103448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v>4.4400000000000004</v>
      </c>
      <c r="R78" s="82">
        <v>7.4999999999999997E-3</v>
      </c>
      <c r="S78" s="216">
        <f>+(P78+Q78)*R78</f>
        <v>3.3300000000000003E-2</v>
      </c>
      <c r="T78" s="246">
        <f>+(P78+Q78)-S78</f>
        <v>4.4067000000000007</v>
      </c>
      <c r="U78" s="211">
        <v>64.23</v>
      </c>
      <c r="V78" s="112"/>
      <c r="W78" s="113">
        <v>1.4999999999999999E-2</v>
      </c>
      <c r="X78" s="217">
        <f>+(U78+V78)*W78</f>
        <v>0.96345000000000003</v>
      </c>
      <c r="Y78" s="246">
        <f>+(U78+V78)-X78</f>
        <v>63.266550000000002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22.76</v>
      </c>
      <c r="Q79" s="137"/>
      <c r="R79" s="82">
        <v>7.4999999999999997E-3</v>
      </c>
      <c r="S79" s="216">
        <f t="shared" ref="S79:S97" si="43">+(P79+Q79)*R79</f>
        <v>0.17070000000000002</v>
      </c>
      <c r="T79" s="246">
        <f t="shared" ref="T79:T97" si="44">+(P79+Q79)-S79</f>
        <v>22.589300000000001</v>
      </c>
      <c r="U79" s="211">
        <v>28.83</v>
      </c>
      <c r="V79" s="112"/>
      <c r="W79" s="113">
        <v>1.4999999999999999E-2</v>
      </c>
      <c r="X79" s="217">
        <f t="shared" ref="X79:X97" si="45">+(U79+V79)*W79</f>
        <v>0.43244999999999995</v>
      </c>
      <c r="Y79" s="246">
        <f t="shared" ref="Y79:Y97" si="46">+(U79+V79)-X79</f>
        <v>28.397549999999999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>
        <v>23.93</v>
      </c>
      <c r="V80" s="112"/>
      <c r="W80" s="113">
        <v>1.4999999999999999E-2</v>
      </c>
      <c r="X80" s="217">
        <f t="shared" si="45"/>
        <v>0.35894999999999999</v>
      </c>
      <c r="Y80" s="213">
        <f t="shared" si="46"/>
        <v>23.57105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35.19</v>
      </c>
      <c r="Q81" s="137"/>
      <c r="R81" s="82">
        <v>7.4999999999999997E-3</v>
      </c>
      <c r="S81" s="216">
        <f t="shared" si="43"/>
        <v>0.26392499999999997</v>
      </c>
      <c r="T81" s="219">
        <f t="shared" si="44"/>
        <v>34.926074999999997</v>
      </c>
      <c r="U81" s="211">
        <v>19.690000000000001</v>
      </c>
      <c r="V81" s="112"/>
      <c r="W81" s="113">
        <v>1.4999999999999999E-2</v>
      </c>
      <c r="X81" s="217">
        <f t="shared" si="45"/>
        <v>0.29535</v>
      </c>
      <c r="Y81" s="213">
        <f t="shared" si="46"/>
        <v>19.394650000000002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57.95</v>
      </c>
      <c r="Q98" s="195">
        <f>SUM(Q78:Q97)</f>
        <v>4.4400000000000004</v>
      </c>
      <c r="R98" s="111"/>
      <c r="S98" s="195">
        <f>SUM(S78:S97)</f>
        <v>0.46792499999999998</v>
      </c>
      <c r="T98" s="195">
        <f>SUM(T78:T97)</f>
        <v>61.922075</v>
      </c>
      <c r="U98" s="114">
        <f>SUM(U78:U97)</f>
        <v>136.68</v>
      </c>
      <c r="V98" s="114">
        <f>SUM(V78:V97)</f>
        <v>0</v>
      </c>
      <c r="W98" s="112"/>
      <c r="X98" s="197">
        <f>SUM(X78:X97)</f>
        <v>2.0501999999999998</v>
      </c>
      <c r="Y98" s="197">
        <f>SUM(Y78:Y97)</f>
        <v>134.62980000000002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68.67</v>
      </c>
    </row>
    <row r="101" spans="14:30" x14ac:dyDescent="0.25">
      <c r="N101" s="85"/>
      <c r="P101" s="212">
        <f>P79+Q79+U79</f>
        <v>51.59</v>
      </c>
      <c r="R101" s="215">
        <f>P78+Q78+U78</f>
        <v>68.67</v>
      </c>
    </row>
    <row r="102" spans="14:30" x14ac:dyDescent="0.25">
      <c r="N102" s="85"/>
      <c r="R102" s="215">
        <f>P79+Q79+U79</f>
        <v>51.59</v>
      </c>
    </row>
    <row r="103" spans="14:30" x14ac:dyDescent="0.25">
      <c r="N103" s="85"/>
      <c r="R103" s="215">
        <f>P80+Q80+U80</f>
        <v>23.93</v>
      </c>
    </row>
    <row r="104" spans="14:30" x14ac:dyDescent="0.25">
      <c r="N104" s="85"/>
      <c r="R104" s="212">
        <f>P81+Q81+U81</f>
        <v>54.879999999999995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A91" sqref="A9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532.5</v>
      </c>
      <c r="C12" s="15"/>
      <c r="D12" s="56"/>
      <c r="E12" s="16"/>
      <c r="F12" s="56"/>
      <c r="G12" s="56"/>
      <c r="H12" s="17"/>
      <c r="I12" s="83">
        <v>532.5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400</v>
      </c>
      <c r="C13" s="15"/>
      <c r="D13" s="56"/>
      <c r="E13" s="16"/>
      <c r="F13" s="56"/>
      <c r="G13" s="56"/>
      <c r="H13" s="17"/>
      <c r="I13" s="83">
        <v>400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2292</v>
      </c>
      <c r="C14" s="15"/>
      <c r="D14" s="56"/>
      <c r="E14" s="16"/>
      <c r="F14" s="56"/>
      <c r="G14" s="56"/>
      <c r="H14" s="17"/>
      <c r="I14" s="83">
        <v>2292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 t="s">
        <v>166</v>
      </c>
      <c r="T16" s="157"/>
      <c r="U16" s="189">
        <f t="shared" si="2"/>
        <v>0</v>
      </c>
      <c r="V16" s="189">
        <f t="shared" si="3"/>
        <v>0</v>
      </c>
      <c r="W16" s="189">
        <v>0</v>
      </c>
      <c r="X16" s="189">
        <f t="shared" si="5"/>
        <v>0</v>
      </c>
      <c r="Y16" s="189">
        <f t="shared" si="6"/>
        <v>0</v>
      </c>
      <c r="Z16" s="189" t="e">
        <f t="shared" si="6"/>
        <v>#VALUE!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400</v>
      </c>
      <c r="C19" s="95"/>
      <c r="D19" s="94"/>
      <c r="E19" s="96"/>
      <c r="F19" s="94"/>
      <c r="G19" s="94"/>
      <c r="H19" s="98"/>
      <c r="I19" s="99">
        <v>400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2292</v>
      </c>
      <c r="C20" s="95"/>
      <c r="D20" s="94"/>
      <c r="E20" s="96"/>
      <c r="F20" s="94"/>
      <c r="G20" s="94"/>
      <c r="H20" s="98"/>
      <c r="I20" s="99">
        <v>2292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 t="e">
        <f t="shared" si="8"/>
        <v>#VALUE!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5951.7899999999991</v>
      </c>
      <c r="C49" s="116">
        <v>7.4999999999999997E-3</v>
      </c>
      <c r="D49" s="117">
        <f t="shared" si="18"/>
        <v>44.638424999999991</v>
      </c>
      <c r="E49" s="172">
        <v>0</v>
      </c>
      <c r="F49" s="117">
        <f t="shared" si="15"/>
        <v>0</v>
      </c>
      <c r="G49" s="117">
        <f t="shared" si="16"/>
        <v>5907.151574999999</v>
      </c>
      <c r="H49" s="173">
        <f t="shared" si="19"/>
        <v>44764</v>
      </c>
      <c r="I49" s="176">
        <f>401.06+5550.73</f>
        <v>5951.79</v>
      </c>
      <c r="J49" s="81">
        <f t="shared" si="0"/>
        <v>0</v>
      </c>
      <c r="K49" s="80"/>
      <c r="L49" s="186">
        <f t="shared" si="17"/>
        <v>5907.151574999999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235.35</v>
      </c>
      <c r="C50" s="116">
        <v>7.4999999999999997E-3</v>
      </c>
      <c r="D50" s="117">
        <f t="shared" si="18"/>
        <v>1.7651249999999998</v>
      </c>
      <c r="E50" s="172">
        <v>0</v>
      </c>
      <c r="F50" s="117">
        <f t="shared" si="15"/>
        <v>0</v>
      </c>
      <c r="G50" s="117">
        <f t="shared" si="16"/>
        <v>233.58487499999998</v>
      </c>
      <c r="H50" s="173">
        <f t="shared" si="19"/>
        <v>44764</v>
      </c>
      <c r="I50" s="175"/>
      <c r="J50" s="81">
        <f t="shared" si="0"/>
        <v>235.35</v>
      </c>
      <c r="K50" s="80"/>
      <c r="L50" s="186">
        <f t="shared" si="17"/>
        <v>233.58487499999998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157.08999999999997</v>
      </c>
      <c r="C51" s="116">
        <v>1.4999999999999999E-2</v>
      </c>
      <c r="D51" s="117">
        <f>+B51*C51</f>
        <v>2.3563499999999995</v>
      </c>
      <c r="E51" s="172">
        <v>0</v>
      </c>
      <c r="F51" s="117">
        <f>D51*E51</f>
        <v>0</v>
      </c>
      <c r="G51" s="117">
        <f t="shared" si="16"/>
        <v>154.73364999999998</v>
      </c>
      <c r="H51" s="173">
        <f t="shared" si="19"/>
        <v>44764</v>
      </c>
      <c r="I51" s="175">
        <v>392.24</v>
      </c>
      <c r="J51" s="81">
        <f t="shared" si="0"/>
        <v>-235.15000000000003</v>
      </c>
      <c r="K51" s="80"/>
      <c r="L51" s="186">
        <f t="shared" si="17"/>
        <v>154.73364999999998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195.27</v>
      </c>
      <c r="C56" s="116">
        <v>2.5000000000000001E-2</v>
      </c>
      <c r="D56" s="117">
        <f t="shared" si="20"/>
        <v>4.8817500000000003</v>
      </c>
      <c r="E56" s="172">
        <v>0.05</v>
      </c>
      <c r="F56" s="117">
        <f t="shared" si="21"/>
        <v>8.4168103448275868</v>
      </c>
      <c r="G56" s="117">
        <f t="shared" si="22"/>
        <v>181.97143965517242</v>
      </c>
      <c r="H56" s="173">
        <f t="shared" si="19"/>
        <v>44764</v>
      </c>
      <c r="I56" s="176">
        <v>195.27</v>
      </c>
      <c r="J56" s="81">
        <f t="shared" si="0"/>
        <v>0</v>
      </c>
      <c r="K56" s="80"/>
      <c r="L56" s="186">
        <f t="shared" si="17"/>
        <v>181.97143965517242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53.641649999999984</v>
      </c>
      <c r="E61" s="177"/>
      <c r="F61" s="57">
        <f>SUM(F46:F58)</f>
        <v>8.4168103448275868</v>
      </c>
      <c r="G61" s="57">
        <f>SUM(G46:G58)</f>
        <v>6477.4415396551713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6477.4415396551713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12954.883079310343</v>
      </c>
      <c r="H64" s="184"/>
      <c r="I64" s="175"/>
      <c r="J64" s="81">
        <f t="shared" si="0"/>
        <v>0</v>
      </c>
      <c r="K64" s="80"/>
      <c r="L64" s="186">
        <f t="shared" si="17"/>
        <v>12954.883079310343</v>
      </c>
      <c r="M64" s="130"/>
      <c r="N64" s="87">
        <v>1</v>
      </c>
      <c r="O64" s="122" t="s">
        <v>171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9364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9301.31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9356.44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-55.130000000001019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251</v>
      </c>
      <c r="Q70" s="222">
        <v>2001</v>
      </c>
      <c r="R70" s="222">
        <v>244.27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1.832025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242.43797500000002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7.5599999999994907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124</v>
      </c>
      <c r="Q71" s="228">
        <v>1001</v>
      </c>
      <c r="R71" s="222">
        <v>156.79</v>
      </c>
      <c r="S71" s="228"/>
      <c r="T71" s="228">
        <v>195.27</v>
      </c>
      <c r="U71" s="189">
        <f t="shared" si="34"/>
        <v>8.4168103448275868</v>
      </c>
      <c r="V71" s="189">
        <f t="shared" si="35"/>
        <v>1.1759249999999999</v>
      </c>
      <c r="W71" s="189">
        <f t="shared" si="36"/>
        <v>0</v>
      </c>
      <c r="X71" s="189">
        <f t="shared" si="37"/>
        <v>4.8817500000000003</v>
      </c>
      <c r="Y71" s="189">
        <f t="shared" si="38"/>
        <v>155.61407499999999</v>
      </c>
      <c r="Z71" s="189">
        <f t="shared" si="38"/>
        <v>0</v>
      </c>
      <c r="AA71" s="189">
        <f t="shared" si="39"/>
        <v>181.97143965517242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49</v>
      </c>
      <c r="Q72" s="228">
        <v>2003</v>
      </c>
      <c r="R72" s="222">
        <v>86.34</v>
      </c>
      <c r="S72" s="228"/>
      <c r="T72" s="228"/>
      <c r="U72" s="189">
        <f t="shared" si="34"/>
        <v>0</v>
      </c>
      <c r="V72" s="189">
        <f t="shared" si="35"/>
        <v>0.64754999999999996</v>
      </c>
      <c r="W72" s="189">
        <f t="shared" si="36"/>
        <v>0</v>
      </c>
      <c r="X72" s="189">
        <f t="shared" si="37"/>
        <v>0</v>
      </c>
      <c r="Y72" s="189">
        <f t="shared" si="38"/>
        <v>85.692450000000008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281</v>
      </c>
      <c r="Q73" s="228">
        <v>2003</v>
      </c>
      <c r="R73" s="222">
        <f>175.6+1045.05</f>
        <v>1220.6499999999999</v>
      </c>
      <c r="S73" s="228"/>
      <c r="T73" s="228"/>
      <c r="U73" s="189">
        <f t="shared" si="34"/>
        <v>0</v>
      </c>
      <c r="V73" s="189">
        <f t="shared" si="35"/>
        <v>9.1548749999999988</v>
      </c>
      <c r="W73" s="189">
        <f t="shared" si="36"/>
        <v>0</v>
      </c>
      <c r="X73" s="189">
        <f t="shared" si="37"/>
        <v>0</v>
      </c>
      <c r="Y73" s="189">
        <f t="shared" si="38"/>
        <v>1211.4951249999999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280</v>
      </c>
      <c r="Q74" s="228">
        <v>2002</v>
      </c>
      <c r="R74" s="222">
        <f>1081.12+1395.43+1767.19</f>
        <v>4243.74</v>
      </c>
      <c r="S74" s="228"/>
      <c r="T74" s="228"/>
      <c r="U74" s="189">
        <f t="shared" si="34"/>
        <v>0</v>
      </c>
      <c r="V74" s="189">
        <f t="shared" si="35"/>
        <v>31.828049999999998</v>
      </c>
      <c r="W74" s="189">
        <f t="shared" si="36"/>
        <v>0</v>
      </c>
      <c r="X74" s="189">
        <f t="shared" si="37"/>
        <v>0</v>
      </c>
      <c r="Y74" s="189">
        <f t="shared" si="38"/>
        <v>4211.9119499999997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5951.7899999999991</v>
      </c>
      <c r="S75" s="192"/>
      <c r="T75" s="192">
        <f>SUM(T70:T74)</f>
        <v>195.27</v>
      </c>
      <c r="U75" s="192">
        <f>SUM(U70:U74)</f>
        <v>8.4168103448275868</v>
      </c>
      <c r="V75" s="192">
        <f t="shared" ref="V75:AA75" si="41">SUM(V70:V74)</f>
        <v>44.638424999999998</v>
      </c>
      <c r="W75" s="192">
        <f t="shared" si="41"/>
        <v>0</v>
      </c>
      <c r="X75" s="192">
        <f t="shared" si="41"/>
        <v>4.8817500000000003</v>
      </c>
      <c r="Y75" s="192">
        <f t="shared" si="41"/>
        <v>5907.1515749999999</v>
      </c>
      <c r="Z75" s="192">
        <f t="shared" si="41"/>
        <v>0</v>
      </c>
      <c r="AA75" s="193">
        <f t="shared" si="41"/>
        <v>181.97143965517242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22.46</v>
      </c>
      <c r="V78" s="112"/>
      <c r="W78" s="113">
        <v>1.4999999999999999E-2</v>
      </c>
      <c r="X78" s="196">
        <f>+(U78+V78)*W78</f>
        <v>0.33689999999999998</v>
      </c>
      <c r="Y78" s="246">
        <f>+(U78+V78)-X78</f>
        <v>22.123100000000001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17.989999999999998</v>
      </c>
      <c r="Q79" s="137">
        <v>1.52</v>
      </c>
      <c r="R79" s="82">
        <v>7.4999999999999997E-3</v>
      </c>
      <c r="S79" s="194">
        <f t="shared" ref="S79:S97" si="43">+(P79+Q79)*R79</f>
        <v>0.14632499999999998</v>
      </c>
      <c r="T79" s="219">
        <f t="shared" ref="T79:T97" si="44">+(P79+Q79)-S79</f>
        <v>19.363674999999997</v>
      </c>
      <c r="U79" s="211">
        <v>73.05</v>
      </c>
      <c r="V79" s="112"/>
      <c r="W79" s="113">
        <v>1.4999999999999999E-2</v>
      </c>
      <c r="X79" s="196">
        <f t="shared" ref="X79:X97" si="45">+(U79+V79)*W79</f>
        <v>1.09575</v>
      </c>
      <c r="Y79" s="213">
        <f t="shared" ref="Y79:Y97" si="46">+(U79+V79)-X79</f>
        <v>71.954250000000002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14.55</v>
      </c>
      <c r="Q80" s="137">
        <v>201.29</v>
      </c>
      <c r="R80" s="82">
        <v>7.4999999999999997E-3</v>
      </c>
      <c r="S80" s="194">
        <f t="shared" si="43"/>
        <v>1.6188</v>
      </c>
      <c r="T80" s="219">
        <f t="shared" si="44"/>
        <v>214.22120000000001</v>
      </c>
      <c r="U80" s="211">
        <v>61.58</v>
      </c>
      <c r="V80" s="112"/>
      <c r="W80" s="113">
        <v>1.4999999999999999E-2</v>
      </c>
      <c r="X80" s="196">
        <f t="shared" si="45"/>
        <v>0.92369999999999997</v>
      </c>
      <c r="Y80" s="213">
        <f t="shared" si="46"/>
        <v>60.656300000000002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32.54</v>
      </c>
      <c r="Q98" s="195">
        <f>SUM(Q78:Q97)</f>
        <v>202.81</v>
      </c>
      <c r="R98" s="111"/>
      <c r="S98" s="195">
        <f>SUM(S78:S97)</f>
        <v>1.7651250000000001</v>
      </c>
      <c r="T98" s="195">
        <f>SUM(T78:T97)</f>
        <v>233.58487500000001</v>
      </c>
      <c r="U98" s="114">
        <f>SUM(U78:U97)</f>
        <v>157.08999999999997</v>
      </c>
      <c r="V98" s="114">
        <f>SUM(V78:V97)</f>
        <v>0</v>
      </c>
      <c r="W98" s="112"/>
      <c r="X98" s="197">
        <f>SUM(X78:X97)</f>
        <v>2.3563499999999999</v>
      </c>
      <c r="Y98" s="197">
        <f>SUM(Y78:Y97)</f>
        <v>154.73365000000001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22.46</v>
      </c>
    </row>
    <row r="103" spans="14:30" x14ac:dyDescent="0.25">
      <c r="N103" s="85"/>
      <c r="Q103" s="215">
        <f>P79+Q79+U79</f>
        <v>92.56</v>
      </c>
    </row>
    <row r="104" spans="14:30" x14ac:dyDescent="0.25">
      <c r="N104" s="85"/>
      <c r="Q104" s="215">
        <f>P80+Q80+U80</f>
        <v>277.42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24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7"/>
      <c r="B1" s="281" t="s">
        <v>12</v>
      </c>
      <c r="C1" s="282"/>
      <c r="D1" s="282"/>
      <c r="E1" s="282"/>
      <c r="F1" s="282"/>
      <c r="G1" s="282"/>
      <c r="H1" s="282"/>
      <c r="I1" s="283"/>
    </row>
    <row r="2" spans="1:9" s="84" customFormat="1" ht="16.5" customHeight="1" x14ac:dyDescent="0.25">
      <c r="A2" s="277"/>
      <c r="B2" s="284" t="s">
        <v>13</v>
      </c>
      <c r="C2" s="285"/>
      <c r="D2" s="285"/>
      <c r="E2" s="285"/>
      <c r="F2" s="285"/>
      <c r="G2" s="285"/>
      <c r="H2" s="285"/>
      <c r="I2" s="286"/>
    </row>
    <row r="3" spans="1:9" s="84" customFormat="1" ht="16.5" customHeight="1" x14ac:dyDescent="0.25">
      <c r="A3" s="277"/>
      <c r="B3" s="280"/>
      <c r="C3" s="280"/>
      <c r="D3" s="280"/>
      <c r="E3" s="280"/>
      <c r="F3" s="280"/>
      <c r="G3" s="280"/>
      <c r="H3" s="280"/>
      <c r="I3" s="280"/>
    </row>
    <row r="4" spans="1:9" x14ac:dyDescent="0.25">
      <c r="B4" s="280"/>
      <c r="C4" s="280"/>
      <c r="D4" s="280"/>
      <c r="E4" s="280"/>
      <c r="F4" s="280"/>
      <c r="G4" s="280"/>
    </row>
    <row r="6" spans="1:9" ht="15.75" thickBot="1" x14ac:dyDescent="0.3"/>
    <row r="7" spans="1:9" x14ac:dyDescent="0.25">
      <c r="E7" s="278" t="s">
        <v>14</v>
      </c>
      <c r="F7" s="279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943.5</v>
      </c>
      <c r="C12" s="15"/>
      <c r="D12" s="56"/>
      <c r="E12" s="16"/>
      <c r="F12" s="56"/>
      <c r="G12" s="56"/>
      <c r="H12" s="17"/>
      <c r="I12" s="83">
        <v>943.5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9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376</v>
      </c>
      <c r="C13" s="15"/>
      <c r="D13" s="56"/>
      <c r="E13" s="16"/>
      <c r="F13" s="56"/>
      <c r="G13" s="56"/>
      <c r="H13" s="17"/>
      <c r="I13" s="83">
        <v>376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2154.48</v>
      </c>
      <c r="C14" s="15"/>
      <c r="D14" s="56"/>
      <c r="E14" s="16"/>
      <c r="F14" s="56"/>
      <c r="G14" s="56"/>
      <c r="H14" s="17"/>
      <c r="I14" s="83">
        <v>2154.48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376</v>
      </c>
      <c r="C19" s="95"/>
      <c r="D19" s="94"/>
      <c r="E19" s="96"/>
      <c r="F19" s="94"/>
      <c r="G19" s="94"/>
      <c r="H19" s="98"/>
      <c r="I19" s="99">
        <v>376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2154.48</v>
      </c>
      <c r="C20" s="95"/>
      <c r="D20" s="94"/>
      <c r="E20" s="96"/>
      <c r="F20" s="94"/>
      <c r="G20" s="94"/>
      <c r="H20" s="98"/>
      <c r="I20" s="99">
        <v>2154.48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17.260000000000002</v>
      </c>
      <c r="C37" s="100"/>
      <c r="D37" s="66"/>
      <c r="E37" s="67"/>
      <c r="F37" s="66"/>
      <c r="G37" s="66"/>
      <c r="H37" s="102"/>
      <c r="I37" s="79">
        <v>17.260000000000002</v>
      </c>
      <c r="J37" s="81">
        <f t="shared" si="0"/>
        <v>0</v>
      </c>
      <c r="K37" s="80"/>
      <c r="L37" s="186">
        <f>K37-B37</f>
        <v>-17.260000000000002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98.899800000000013</v>
      </c>
      <c r="C38" s="100"/>
      <c r="D38" s="66"/>
      <c r="E38" s="67"/>
      <c r="F38" s="66"/>
      <c r="G38" s="66"/>
      <c r="H38" s="102"/>
      <c r="I38" s="79">
        <v>98.9</v>
      </c>
      <c r="J38" s="81">
        <f t="shared" si="0"/>
        <v>-1.9999999999242846E-4</v>
      </c>
      <c r="K38" s="80"/>
      <c r="L38" s="186">
        <f>K38-B38</f>
        <v>-98.899800000000013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17.260000000000002</v>
      </c>
      <c r="C43" s="95"/>
      <c r="D43" s="94"/>
      <c r="E43" s="96"/>
      <c r="F43" s="94"/>
      <c r="G43" s="94"/>
      <c r="H43" s="98"/>
      <c r="I43" s="99">
        <v>17.260000000000002</v>
      </c>
      <c r="J43" s="185">
        <f t="shared" si="0"/>
        <v>0</v>
      </c>
      <c r="K43" s="99"/>
      <c r="L43" s="187">
        <f>K43-B43</f>
        <v>-17.260000000000002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98.899800000000013</v>
      </c>
      <c r="C44" s="95"/>
      <c r="D44" s="94"/>
      <c r="E44" s="96"/>
      <c r="F44" s="94"/>
      <c r="G44" s="94"/>
      <c r="H44" s="98"/>
      <c r="I44" s="99">
        <v>98.9</v>
      </c>
      <c r="J44" s="185">
        <f t="shared" si="0"/>
        <v>-1.9999999999242846E-4</v>
      </c>
      <c r="K44" s="99"/>
      <c r="L44" s="187">
        <f>K44-B44</f>
        <v>-98.899800000000013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225</v>
      </c>
      <c r="B49" s="117">
        <f>R75</f>
        <v>6069.1100000000006</v>
      </c>
      <c r="C49" s="116">
        <v>7.4999999999999997E-3</v>
      </c>
      <c r="D49" s="117">
        <f t="shared" si="18"/>
        <v>45.518325000000004</v>
      </c>
      <c r="E49" s="172">
        <v>0</v>
      </c>
      <c r="F49" s="117">
        <f t="shared" si="15"/>
        <v>0</v>
      </c>
      <c r="G49" s="117">
        <f t="shared" si="16"/>
        <v>6023.5916750000006</v>
      </c>
      <c r="H49" s="173">
        <f t="shared" si="19"/>
        <v>44765</v>
      </c>
      <c r="I49" s="176">
        <f>557.41+5511.7</f>
        <v>6069.11</v>
      </c>
      <c r="J49" s="81">
        <f t="shared" si="0"/>
        <v>0</v>
      </c>
      <c r="K49" s="80"/>
      <c r="L49" s="186">
        <f t="shared" si="17"/>
        <v>6023.5916750000006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201.73000000000002</v>
      </c>
      <c r="C50" s="116">
        <v>7.4999999999999997E-3</v>
      </c>
      <c r="D50" s="117">
        <f t="shared" si="18"/>
        <v>1.5129750000000002</v>
      </c>
      <c r="E50" s="172">
        <v>0</v>
      </c>
      <c r="F50" s="117">
        <f t="shared" si="15"/>
        <v>0</v>
      </c>
      <c r="G50" s="117">
        <f t="shared" si="16"/>
        <v>200.21702500000001</v>
      </c>
      <c r="H50" s="173">
        <f t="shared" si="19"/>
        <v>44765</v>
      </c>
      <c r="I50" s="175"/>
      <c r="J50" s="81">
        <f t="shared" si="0"/>
        <v>201.73000000000002</v>
      </c>
      <c r="K50" s="80">
        <v>200.22</v>
      </c>
      <c r="L50" s="186">
        <f t="shared" si="17"/>
        <v>-2.9749999999921783E-3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31.519999999999996</v>
      </c>
      <c r="C51" s="116">
        <v>1.4999999999999999E-2</v>
      </c>
      <c r="D51" s="117">
        <f>+B51*C51</f>
        <v>0.47279999999999994</v>
      </c>
      <c r="E51" s="172">
        <v>0</v>
      </c>
      <c r="F51" s="117">
        <f>D51*E51</f>
        <v>0</v>
      </c>
      <c r="G51" s="117">
        <f t="shared" si="16"/>
        <v>31.047199999999997</v>
      </c>
      <c r="H51" s="173">
        <f t="shared" si="19"/>
        <v>44765</v>
      </c>
      <c r="I51" s="175">
        <v>233.25</v>
      </c>
      <c r="J51" s="81">
        <f t="shared" si="0"/>
        <v>-201.73000000000002</v>
      </c>
      <c r="K51" s="80">
        <v>31.05</v>
      </c>
      <c r="L51" s="186">
        <f t="shared" si="17"/>
        <v>-2.8000000000041325E-3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166.22</v>
      </c>
      <c r="C56" s="116">
        <v>2.5000000000000001E-2</v>
      </c>
      <c r="D56" s="117">
        <f t="shared" si="20"/>
        <v>4.1555</v>
      </c>
      <c r="E56" s="172">
        <v>0.05</v>
      </c>
      <c r="F56" s="117">
        <f t="shared" si="21"/>
        <v>7.1646551724137941</v>
      </c>
      <c r="G56" s="117">
        <f t="shared" si="22"/>
        <v>154.89984482758621</v>
      </c>
      <c r="H56" s="173">
        <f t="shared" si="19"/>
        <v>44765</v>
      </c>
      <c r="I56" s="176">
        <v>166.22</v>
      </c>
      <c r="J56" s="81">
        <f t="shared" si="0"/>
        <v>0</v>
      </c>
      <c r="K56" s="80"/>
      <c r="L56" s="186">
        <f t="shared" si="17"/>
        <v>154.89984482758621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166</v>
      </c>
      <c r="B61" s="56"/>
      <c r="C61" s="18"/>
      <c r="D61" s="57">
        <f>SUM(D46:D58)</f>
        <v>51.659599999999998</v>
      </c>
      <c r="E61" s="177"/>
      <c r="F61" s="57">
        <f>SUM(F46:F58)</f>
        <v>7.1646551724137941</v>
      </c>
      <c r="G61" s="57">
        <f>SUM(G46:G58)</f>
        <v>6409.7557448275866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6409.7557448275866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12819.511489655173</v>
      </c>
      <c r="H64" s="184"/>
      <c r="I64" s="175"/>
      <c r="J64" s="81">
        <f t="shared" si="0"/>
        <v>0</v>
      </c>
      <c r="K64" s="80"/>
      <c r="L64" s="186">
        <f t="shared" si="17"/>
        <v>12819.511489655173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9665.4598000000005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9587.25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9642.7999999999993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-55.549999999999272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222</v>
      </c>
      <c r="Q70" s="228">
        <v>2001</v>
      </c>
      <c r="R70" s="222">
        <v>405.56</v>
      </c>
      <c r="S70" s="228"/>
      <c r="T70" s="222">
        <v>104.36</v>
      </c>
      <c r="U70" s="189">
        <f t="shared" ref="U70:U74" si="34">((T70/U$10)*U$9)</f>
        <v>4.498275862068966</v>
      </c>
      <c r="V70" s="189">
        <f t="shared" ref="V70:V74" si="35">R70*V$10</f>
        <v>3.0417000000000001</v>
      </c>
      <c r="W70" s="189">
        <f t="shared" ref="W70:W74" si="36">+S70*V$10</f>
        <v>0</v>
      </c>
      <c r="X70" s="189">
        <f t="shared" ref="X70:X74" si="37">+T70*X$10</f>
        <v>2.609</v>
      </c>
      <c r="Y70" s="189">
        <f t="shared" ref="Y70:Z74" si="38">R70-V70</f>
        <v>402.51830000000001</v>
      </c>
      <c r="Z70" s="189">
        <f t="shared" si="38"/>
        <v>0</v>
      </c>
      <c r="AA70" s="189">
        <f t="shared" ref="AA70:AA74" si="39">T70-U70-X70</f>
        <v>97.25272413793104</v>
      </c>
      <c r="AB70" s="87"/>
    </row>
    <row r="71" spans="1:30" ht="28.5" customHeight="1" thickBot="1" x14ac:dyDescent="0.3">
      <c r="A71" s="25" t="s">
        <v>57</v>
      </c>
      <c r="B71" s="70">
        <f>(B65-B69)-B72</f>
        <v>22.659800000001269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282</v>
      </c>
      <c r="Q71" s="228">
        <v>2001</v>
      </c>
      <c r="R71" s="222">
        <f>17.23+134.62</f>
        <v>151.85</v>
      </c>
      <c r="S71" s="228"/>
      <c r="T71" s="228">
        <v>61.86</v>
      </c>
      <c r="U71" s="189">
        <f t="shared" si="34"/>
        <v>2.6663793103448281</v>
      </c>
      <c r="V71" s="189">
        <f t="shared" si="35"/>
        <v>1.1388749999999999</v>
      </c>
      <c r="W71" s="189">
        <f t="shared" si="36"/>
        <v>0</v>
      </c>
      <c r="X71" s="189">
        <f t="shared" si="37"/>
        <v>1.5465</v>
      </c>
      <c r="Y71" s="189">
        <f t="shared" si="38"/>
        <v>150.71112499999998</v>
      </c>
      <c r="Z71" s="189">
        <f t="shared" si="38"/>
        <v>0</v>
      </c>
      <c r="AA71" s="189">
        <f t="shared" si="39"/>
        <v>57.647120689655168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284</v>
      </c>
      <c r="Q73" s="228">
        <v>2001</v>
      </c>
      <c r="R73" s="222">
        <f>986.71+1509.09</f>
        <v>2495.8000000000002</v>
      </c>
      <c r="S73" s="228"/>
      <c r="T73" s="228"/>
      <c r="U73" s="189">
        <f t="shared" si="34"/>
        <v>0</v>
      </c>
      <c r="V73" s="189">
        <f t="shared" si="35"/>
        <v>18.718500000000002</v>
      </c>
      <c r="W73" s="189">
        <f t="shared" si="36"/>
        <v>0</v>
      </c>
      <c r="X73" s="189">
        <f t="shared" si="37"/>
        <v>0</v>
      </c>
      <c r="Y73" s="189">
        <f t="shared" si="38"/>
        <v>2477.0815000000002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283</v>
      </c>
      <c r="Q74" s="228">
        <v>2002</v>
      </c>
      <c r="R74" s="222">
        <f>1098.39+1917.51</f>
        <v>3015.9</v>
      </c>
      <c r="S74" s="228"/>
      <c r="T74" s="228"/>
      <c r="U74" s="189">
        <f t="shared" si="34"/>
        <v>0</v>
      </c>
      <c r="V74" s="189">
        <f t="shared" si="35"/>
        <v>22.619250000000001</v>
      </c>
      <c r="W74" s="189">
        <f t="shared" si="36"/>
        <v>0</v>
      </c>
      <c r="X74" s="189">
        <f t="shared" si="37"/>
        <v>0</v>
      </c>
      <c r="Y74" s="189">
        <f t="shared" si="38"/>
        <v>2993.2807499999999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6069.1100000000006</v>
      </c>
      <c r="S75" s="192"/>
      <c r="T75" s="192">
        <f>SUM(T70:T74)</f>
        <v>166.22</v>
      </c>
      <c r="U75" s="192">
        <f>SUM(U70:U74)</f>
        <v>7.1646551724137941</v>
      </c>
      <c r="V75" s="192">
        <f t="shared" ref="V75:AA75" si="41">SUM(V70:V74)</f>
        <v>45.518325000000004</v>
      </c>
      <c r="W75" s="192">
        <f t="shared" si="41"/>
        <v>0</v>
      </c>
      <c r="X75" s="192">
        <f t="shared" si="41"/>
        <v>4.1555</v>
      </c>
      <c r="Y75" s="192">
        <f t="shared" si="41"/>
        <v>6023.5916749999997</v>
      </c>
      <c r="Z75" s="192">
        <f t="shared" si="41"/>
        <v>0</v>
      </c>
      <c r="AA75" s="193">
        <f t="shared" si="41"/>
        <v>154.89984482758621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196</v>
      </c>
      <c r="P78" s="137">
        <v>79.75</v>
      </c>
      <c r="Q78" s="137">
        <v>15.75</v>
      </c>
      <c r="R78" s="82">
        <v>7.4999999999999997E-3</v>
      </c>
      <c r="S78" s="194">
        <f>+(P78+Q78)*R78</f>
        <v>0.71624999999999994</v>
      </c>
      <c r="T78" s="246">
        <f>+(P78+Q78)-S78</f>
        <v>94.783749999999998</v>
      </c>
      <c r="U78" s="211">
        <v>21.65</v>
      </c>
      <c r="V78" s="112"/>
      <c r="W78" s="113">
        <v>1.4999999999999999E-2</v>
      </c>
      <c r="X78" s="196">
        <f>+(U78+V78)*W78</f>
        <v>0.32474999999999998</v>
      </c>
      <c r="Y78" s="246">
        <f>+(U78+V78)-X78</f>
        <v>21.325249999999997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200.22</v>
      </c>
      <c r="N79" s="87">
        <v>2</v>
      </c>
      <c r="O79" s="87" t="s">
        <v>196</v>
      </c>
      <c r="P79" s="137">
        <v>87.09</v>
      </c>
      <c r="Q79" s="137">
        <v>19.14</v>
      </c>
      <c r="R79" s="82">
        <v>7.4999999999999997E-3</v>
      </c>
      <c r="S79" s="194">
        <f t="shared" ref="S79:S97" si="43">+(P79+Q79)*R79</f>
        <v>0.79672500000000002</v>
      </c>
      <c r="T79" s="246">
        <f t="shared" ref="T79:T97" si="44">+(P79+Q79)-S79</f>
        <v>105.43327500000001</v>
      </c>
      <c r="U79" s="211">
        <v>9.8699999999999992</v>
      </c>
      <c r="V79" s="112"/>
      <c r="W79" s="113">
        <v>1.4999999999999999E-2</v>
      </c>
      <c r="X79" s="196">
        <f t="shared" ref="X79:X97" si="45">+(U79+V79)*W79</f>
        <v>0.14804999999999999</v>
      </c>
      <c r="Y79" s="246">
        <f t="shared" ref="Y79:Y97" si="46">+(U79+V79)-X79</f>
        <v>9.7219499999999996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196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200.22</v>
      </c>
      <c r="N81" s="87">
        <v>4</v>
      </c>
      <c r="O81" s="87" t="s">
        <v>196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196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196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196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196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196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196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196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196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196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196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196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196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196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196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196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196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166.84</v>
      </c>
      <c r="Q98" s="195">
        <f>SUM(Q78:Q97)</f>
        <v>34.89</v>
      </c>
      <c r="R98" s="111"/>
      <c r="S98" s="195">
        <f>SUM(S78:S97)</f>
        <v>1.512975</v>
      </c>
      <c r="T98" s="195">
        <f>SUM(T78:T97)</f>
        <v>200.21702500000001</v>
      </c>
      <c r="U98" s="114">
        <f>SUM(U78:U97)</f>
        <v>31.519999999999996</v>
      </c>
      <c r="V98" s="114">
        <f>SUM(V78:V97)</f>
        <v>0</v>
      </c>
      <c r="W98" s="112"/>
      <c r="X98" s="197">
        <f>SUM(X78:X97)</f>
        <v>0.4728</v>
      </c>
      <c r="Y98" s="197">
        <f>SUM(Y78:Y97)</f>
        <v>31.047199999999997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117.15</v>
      </c>
    </row>
    <row r="101" spans="14:30" x14ac:dyDescent="0.25">
      <c r="N101" s="85"/>
      <c r="P101" s="215">
        <f>P79+Q79+U79</f>
        <v>116.10000000000001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917</v>
      </c>
      <c r="C12" s="15"/>
      <c r="D12" s="56"/>
      <c r="E12" s="16"/>
      <c r="F12" s="56"/>
      <c r="G12" s="56"/>
      <c r="H12" s="17"/>
      <c r="I12" s="83">
        <v>917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240">
        <v>564</v>
      </c>
      <c r="C13" s="15"/>
      <c r="D13" s="56"/>
      <c r="E13" s="16"/>
      <c r="F13" s="56"/>
      <c r="G13" s="56"/>
      <c r="H13" s="17"/>
      <c r="I13" s="83">
        <v>564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3231.7200000000003</v>
      </c>
      <c r="C14" s="15"/>
      <c r="D14" s="56"/>
      <c r="E14" s="16"/>
      <c r="F14" s="56"/>
      <c r="G14" s="56"/>
      <c r="H14" s="17"/>
      <c r="I14" s="83">
        <v>3231.72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564</v>
      </c>
      <c r="C19" s="95"/>
      <c r="D19" s="94"/>
      <c r="E19" s="96"/>
      <c r="F19" s="94"/>
      <c r="G19" s="94"/>
      <c r="H19" s="98"/>
      <c r="I19" s="99">
        <v>564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3231.7200000000003</v>
      </c>
      <c r="C20" s="95"/>
      <c r="D20" s="94"/>
      <c r="E20" s="96"/>
      <c r="F20" s="94"/>
      <c r="G20" s="94"/>
      <c r="H20" s="98"/>
      <c r="I20" s="99">
        <v>3231.72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44766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6092.3899999999994</v>
      </c>
      <c r="C49" s="116">
        <v>7.4999999999999997E-3</v>
      </c>
      <c r="D49" s="117">
        <f t="shared" si="18"/>
        <v>45.692924999999995</v>
      </c>
      <c r="E49" s="172">
        <v>0</v>
      </c>
      <c r="F49" s="117">
        <f t="shared" si="15"/>
        <v>0</v>
      </c>
      <c r="G49" s="117">
        <f t="shared" si="16"/>
        <v>6046.6970749999991</v>
      </c>
      <c r="H49" s="173">
        <f t="shared" si="19"/>
        <v>44766</v>
      </c>
      <c r="I49" s="176">
        <f>1131.42+4960.97</f>
        <v>6092.39</v>
      </c>
      <c r="J49" s="81">
        <f t="shared" si="0"/>
        <v>0</v>
      </c>
      <c r="K49" s="80"/>
      <c r="L49" s="186">
        <f t="shared" si="17"/>
        <v>6046.6970749999991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462.31</v>
      </c>
      <c r="C50" s="116">
        <v>7.4999999999999997E-3</v>
      </c>
      <c r="D50" s="117">
        <f t="shared" si="18"/>
        <v>3.4673249999999998</v>
      </c>
      <c r="E50" s="172">
        <v>0</v>
      </c>
      <c r="F50" s="117">
        <f t="shared" si="15"/>
        <v>0</v>
      </c>
      <c r="G50" s="117">
        <f t="shared" si="16"/>
        <v>458.84267499999999</v>
      </c>
      <c r="H50" s="173">
        <f t="shared" si="19"/>
        <v>44766</v>
      </c>
      <c r="I50" s="175"/>
      <c r="J50" s="81">
        <f t="shared" si="0"/>
        <v>462.31</v>
      </c>
      <c r="K50" s="225">
        <v>457.11</v>
      </c>
      <c r="L50" s="186">
        <f t="shared" si="17"/>
        <v>1.732674999999972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239.48</v>
      </c>
      <c r="C51" s="116">
        <v>1.4999999999999999E-2</v>
      </c>
      <c r="D51" s="117">
        <f>+B51*C51</f>
        <v>3.5921999999999996</v>
      </c>
      <c r="E51" s="172">
        <v>0</v>
      </c>
      <c r="F51" s="117">
        <f>D51*E51</f>
        <v>0</v>
      </c>
      <c r="G51" s="117">
        <f t="shared" si="16"/>
        <v>235.8878</v>
      </c>
      <c r="H51" s="173">
        <f t="shared" si="19"/>
        <v>44766</v>
      </c>
      <c r="I51" s="175">
        <v>701.79</v>
      </c>
      <c r="J51" s="81">
        <f t="shared" si="0"/>
        <v>-462.30999999999995</v>
      </c>
      <c r="K51" s="80">
        <f>31.74+200.22</f>
        <v>231.96</v>
      </c>
      <c r="L51" s="186">
        <f>K51-G51</f>
        <v>-3.9277999999999906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44766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242.51</v>
      </c>
      <c r="C56" s="116">
        <v>2.5000000000000001E-2</v>
      </c>
      <c r="D56" s="117">
        <f t="shared" si="20"/>
        <v>6.0627500000000003</v>
      </c>
      <c r="E56" s="172">
        <v>0.05</v>
      </c>
      <c r="F56" s="117">
        <f t="shared" si="21"/>
        <v>10.453017241379312</v>
      </c>
      <c r="G56" s="117">
        <f t="shared" si="22"/>
        <v>225.99423275862068</v>
      </c>
      <c r="H56" s="173">
        <f t="shared" si="19"/>
        <v>44766</v>
      </c>
      <c r="I56" s="176">
        <v>231.61</v>
      </c>
      <c r="J56" s="81">
        <f t="shared" si="0"/>
        <v>10.899999999999977</v>
      </c>
      <c r="K56" s="80"/>
      <c r="L56" s="186">
        <f t="shared" si="17"/>
        <v>225.99423275862068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58.815199999999997</v>
      </c>
      <c r="E61" s="177"/>
      <c r="F61" s="57">
        <f>SUM(F46:F58)</f>
        <v>10.453017241379312</v>
      </c>
      <c r="G61" s="57">
        <f>SUM(G46:G58)</f>
        <v>6967.4217827586199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6967.4217827586199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13934.84356551724</v>
      </c>
      <c r="H64" s="184"/>
      <c r="I64" s="175"/>
      <c r="J64" s="81">
        <f t="shared" si="0"/>
        <v>0</v>
      </c>
      <c r="K64" s="80"/>
      <c r="L64" s="186">
        <f t="shared" si="17"/>
        <v>13934.84356551724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11185.41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11094.06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11176.53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-82.470000000001164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97</v>
      </c>
      <c r="Q70" s="228">
        <v>1001</v>
      </c>
      <c r="R70" s="222">
        <v>760.93</v>
      </c>
      <c r="S70" s="228"/>
      <c r="T70" s="247">
        <v>10.9</v>
      </c>
      <c r="U70" s="189">
        <f t="shared" ref="U70:U74" si="34">((T70/U$10)*U$9)</f>
        <v>0.46982758620689663</v>
      </c>
      <c r="V70" s="189">
        <f t="shared" ref="V70:V74" si="35">R70*V$10</f>
        <v>5.706974999999999</v>
      </c>
      <c r="W70" s="189">
        <f t="shared" ref="W70:W74" si="36">+S70*V$10</f>
        <v>0</v>
      </c>
      <c r="X70" s="189">
        <f t="shared" ref="X70:X74" si="37">+T70*X$10</f>
        <v>0.27250000000000002</v>
      </c>
      <c r="Y70" s="189">
        <f t="shared" ref="Y70:Z74" si="38">R70-V70</f>
        <v>755.22302500000001</v>
      </c>
      <c r="Z70" s="189">
        <f t="shared" si="38"/>
        <v>0</v>
      </c>
      <c r="AA70" s="189">
        <f t="shared" ref="AA70:AA74" si="39">T70-U70-X70</f>
        <v>10.157672413793103</v>
      </c>
      <c r="AB70" s="87"/>
    </row>
    <row r="71" spans="1:30" ht="28.5" customHeight="1" thickBot="1" x14ac:dyDescent="0.3">
      <c r="A71" s="25" t="s">
        <v>57</v>
      </c>
      <c r="B71" s="70">
        <f>(B65-B69)-B72</f>
        <v>8.8799999999991996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255</v>
      </c>
      <c r="Q71" s="228">
        <v>2001</v>
      </c>
      <c r="R71" s="222">
        <v>370.49</v>
      </c>
      <c r="S71" s="228"/>
      <c r="T71" s="222"/>
      <c r="U71" s="189">
        <f t="shared" si="34"/>
        <v>0</v>
      </c>
      <c r="V71" s="189">
        <f t="shared" si="35"/>
        <v>2.7786749999999998</v>
      </c>
      <c r="W71" s="189">
        <f t="shared" si="36"/>
        <v>0</v>
      </c>
      <c r="X71" s="189">
        <f t="shared" si="37"/>
        <v>0</v>
      </c>
      <c r="Y71" s="189">
        <f t="shared" si="38"/>
        <v>367.71132499999999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285</v>
      </c>
      <c r="Q72" s="228">
        <v>2003</v>
      </c>
      <c r="R72" s="222">
        <f>822.44+1234.43</f>
        <v>2056.87</v>
      </c>
      <c r="S72" s="228"/>
      <c r="T72" s="228">
        <v>139.5</v>
      </c>
      <c r="U72" s="189">
        <f t="shared" si="34"/>
        <v>6.0129310344827589</v>
      </c>
      <c r="V72" s="189">
        <f t="shared" si="35"/>
        <v>15.426524999999998</v>
      </c>
      <c r="W72" s="189">
        <f t="shared" si="36"/>
        <v>0</v>
      </c>
      <c r="X72" s="189">
        <f t="shared" si="37"/>
        <v>3.4875000000000003</v>
      </c>
      <c r="Y72" s="189">
        <f t="shared" si="38"/>
        <v>2041.4434749999998</v>
      </c>
      <c r="Z72" s="189">
        <f t="shared" si="38"/>
        <v>0</v>
      </c>
      <c r="AA72" s="189">
        <f t="shared" si="39"/>
        <v>129.99956896551723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735</v>
      </c>
      <c r="Q73" s="228">
        <v>2002</v>
      </c>
      <c r="R73" s="222">
        <v>279.68</v>
      </c>
      <c r="S73" s="228"/>
      <c r="T73" s="228"/>
      <c r="U73" s="189">
        <f t="shared" si="34"/>
        <v>0</v>
      </c>
      <c r="V73" s="189">
        <f t="shared" si="35"/>
        <v>2.0975999999999999</v>
      </c>
      <c r="W73" s="189">
        <f t="shared" si="36"/>
        <v>0</v>
      </c>
      <c r="X73" s="189">
        <f t="shared" si="37"/>
        <v>0</v>
      </c>
      <c r="Y73" s="189">
        <f t="shared" si="38"/>
        <v>277.58240000000001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742</v>
      </c>
      <c r="Q74" s="228">
        <v>2001</v>
      </c>
      <c r="R74" s="222">
        <v>2624.42</v>
      </c>
      <c r="S74" s="228"/>
      <c r="T74" s="247">
        <v>92.11</v>
      </c>
      <c r="U74" s="189">
        <f t="shared" si="34"/>
        <v>3.9702586206896555</v>
      </c>
      <c r="V74" s="189">
        <f t="shared" si="35"/>
        <v>19.683150000000001</v>
      </c>
      <c r="W74" s="189">
        <f t="shared" si="36"/>
        <v>0</v>
      </c>
      <c r="X74" s="189">
        <f t="shared" si="37"/>
        <v>2.3027500000000001</v>
      </c>
      <c r="Y74" s="189">
        <f t="shared" si="38"/>
        <v>2604.7368500000002</v>
      </c>
      <c r="Z74" s="189">
        <f t="shared" si="38"/>
        <v>0</v>
      </c>
      <c r="AA74" s="189">
        <f t="shared" si="39"/>
        <v>85.836991379310348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6092.3899999999994</v>
      </c>
      <c r="S75" s="192"/>
      <c r="T75" s="192">
        <f>SUM(T70:T74)</f>
        <v>242.51</v>
      </c>
      <c r="U75" s="192">
        <f>SUM(U70:U74)</f>
        <v>10.45301724137931</v>
      </c>
      <c r="V75" s="192">
        <f t="shared" ref="V75:AA75" si="41">SUM(V70:V74)</f>
        <v>45.692925000000002</v>
      </c>
      <c r="W75" s="192">
        <f t="shared" si="41"/>
        <v>0</v>
      </c>
      <c r="X75" s="192">
        <f t="shared" si="41"/>
        <v>6.0627500000000003</v>
      </c>
      <c r="Y75" s="192">
        <f t="shared" si="41"/>
        <v>6046.697075</v>
      </c>
      <c r="Z75" s="192">
        <f t="shared" si="41"/>
        <v>0</v>
      </c>
      <c r="AA75" s="193">
        <f t="shared" si="41"/>
        <v>225.99423275862068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207.26</v>
      </c>
      <c r="V78" s="112"/>
      <c r="W78" s="113">
        <v>1.4999999999999999E-2</v>
      </c>
      <c r="X78" s="196">
        <f>+(U78+V78)*W78</f>
        <v>3.1088999999999998</v>
      </c>
      <c r="Y78" s="217">
        <f>+(U78+V78)-X78</f>
        <v>204.15109999999999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188.47</v>
      </c>
      <c r="Q79" s="87">
        <v>38.76</v>
      </c>
      <c r="R79" s="82">
        <v>7.4999999999999997E-3</v>
      </c>
      <c r="S79" s="194">
        <f t="shared" ref="S79:S97" si="43">+(P79+Q79)*R79</f>
        <v>1.7042249999999999</v>
      </c>
      <c r="T79" s="246">
        <f t="shared" ref="T79:T97" si="44">+(P79+Q79)-S79</f>
        <v>225.52577499999998</v>
      </c>
      <c r="U79" s="211">
        <v>20.53</v>
      </c>
      <c r="V79" s="112"/>
      <c r="W79" s="113">
        <v>1.4999999999999999E-2</v>
      </c>
      <c r="X79" s="196">
        <f t="shared" ref="X79:X97" si="45">+(U79+V79)*W79</f>
        <v>0.30795</v>
      </c>
      <c r="Y79" s="246">
        <f t="shared" ref="Y79:Y97" si="46">+(U79+V79)-X79</f>
        <v>20.222049999999999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107.54</v>
      </c>
      <c r="Q80" s="87">
        <v>127.54</v>
      </c>
      <c r="R80" s="82">
        <v>7.4999999999999997E-3</v>
      </c>
      <c r="S80" s="194">
        <f t="shared" si="43"/>
        <v>1.7631000000000001</v>
      </c>
      <c r="T80" s="246">
        <f t="shared" si="44"/>
        <v>233.3169</v>
      </c>
      <c r="U80" s="211">
        <v>11.69</v>
      </c>
      <c r="V80" s="112"/>
      <c r="W80" s="113">
        <v>1.4999999999999999E-2</v>
      </c>
      <c r="X80" s="196">
        <f t="shared" si="45"/>
        <v>0.17534999999999998</v>
      </c>
      <c r="Y80" s="246">
        <f t="shared" si="46"/>
        <v>11.51465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296.01</v>
      </c>
      <c r="Q98" s="195">
        <f>SUM(Q78:Q97)</f>
        <v>166.3</v>
      </c>
      <c r="R98" s="111"/>
      <c r="S98" s="195">
        <f>SUM(S78:S97)</f>
        <v>3.4673249999999998</v>
      </c>
      <c r="T98" s="195">
        <f>SUM(T78:T97)</f>
        <v>458.84267499999999</v>
      </c>
      <c r="U98" s="114">
        <f>SUM(U78:U97)</f>
        <v>239.48</v>
      </c>
      <c r="V98" s="114">
        <f>SUM(V78:V97)</f>
        <v>0</v>
      </c>
      <c r="W98" s="112"/>
      <c r="X98" s="197">
        <f>SUM(X78:X97)</f>
        <v>3.5921999999999996</v>
      </c>
      <c r="Y98" s="197">
        <f>SUM(Y78:Y97)</f>
        <v>235.88779999999997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P78+Q78+U78</f>
        <v>207.26</v>
      </c>
    </row>
    <row r="102" spans="14:30" x14ac:dyDescent="0.25">
      <c r="N102" s="85"/>
      <c r="P102" s="215">
        <f>P79+Q79+U79</f>
        <v>247.76</v>
      </c>
    </row>
    <row r="103" spans="14:30" x14ac:dyDescent="0.25">
      <c r="N103" s="85"/>
      <c r="P103" s="215">
        <f>P80+Q80+U80</f>
        <v>246.77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1293.5</v>
      </c>
      <c r="C12" s="15"/>
      <c r="D12" s="56"/>
      <c r="E12" s="16"/>
      <c r="F12" s="56"/>
      <c r="G12" s="56"/>
      <c r="H12" s="17"/>
      <c r="I12" s="83">
        <v>1293.5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662</v>
      </c>
      <c r="C13" s="15"/>
      <c r="D13" s="56"/>
      <c r="E13" s="16"/>
      <c r="F13" s="56"/>
      <c r="G13" s="56"/>
      <c r="H13" s="17"/>
      <c r="I13" s="83">
        <v>662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3793.26</v>
      </c>
      <c r="C14" s="15"/>
      <c r="D14" s="56"/>
      <c r="E14" s="16"/>
      <c r="F14" s="56"/>
      <c r="G14" s="56"/>
      <c r="H14" s="17"/>
      <c r="I14" s="83">
        <v>3793.26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662</v>
      </c>
      <c r="C19" s="95"/>
      <c r="D19" s="94"/>
      <c r="E19" s="96"/>
      <c r="F19" s="94"/>
      <c r="G19" s="94"/>
      <c r="H19" s="98"/>
      <c r="I19" s="99">
        <v>662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3793.26</v>
      </c>
      <c r="C20" s="95"/>
      <c r="D20" s="94"/>
      <c r="E20" s="96"/>
      <c r="F20" s="94"/>
      <c r="G20" s="94"/>
      <c r="H20" s="98"/>
      <c r="I20" s="99">
        <v>3793.26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10.55</v>
      </c>
      <c r="C29" s="100"/>
      <c r="D29" s="66"/>
      <c r="E29" s="67"/>
      <c r="F29" s="66"/>
      <c r="G29" s="66"/>
      <c r="H29" s="102"/>
      <c r="I29" s="79">
        <v>10.55</v>
      </c>
      <c r="J29" s="81">
        <f t="shared" si="0"/>
        <v>0</v>
      </c>
      <c r="K29" s="80">
        <v>10.55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60.45150000000001</v>
      </c>
      <c r="C30" s="100"/>
      <c r="D30" s="66"/>
      <c r="E30" s="67"/>
      <c r="F30" s="66"/>
      <c r="G30" s="66"/>
      <c r="H30" s="102"/>
      <c r="I30" s="79">
        <v>60.45</v>
      </c>
      <c r="J30" s="81">
        <f t="shared" si="0"/>
        <v>1.5000000000071623E-3</v>
      </c>
      <c r="K30" s="80">
        <v>60.45</v>
      </c>
      <c r="L30" s="186">
        <f>K30-B30</f>
        <v>-1.5000000000071623E-3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10.55</v>
      </c>
      <c r="C35" s="95"/>
      <c r="D35" s="94"/>
      <c r="E35" s="96"/>
      <c r="F35" s="94"/>
      <c r="G35" s="94"/>
      <c r="H35" s="98"/>
      <c r="I35" s="99">
        <v>10.55</v>
      </c>
      <c r="J35" s="185">
        <f t="shared" si="0"/>
        <v>0</v>
      </c>
      <c r="K35" s="99">
        <v>10.55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60.45150000000001</v>
      </c>
      <c r="C36" s="95"/>
      <c r="D36" s="94"/>
      <c r="E36" s="96"/>
      <c r="F36" s="94"/>
      <c r="G36" s="94"/>
      <c r="H36" s="98"/>
      <c r="I36" s="99">
        <v>60.45</v>
      </c>
      <c r="J36" s="185">
        <f t="shared" si="0"/>
        <v>1.5000000000071623E-3</v>
      </c>
      <c r="K36" s="99">
        <v>60.45</v>
      </c>
      <c r="L36" s="187">
        <f>K36-B36</f>
        <v>-1.5000000000071623E-3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65.900000000000006</v>
      </c>
      <c r="C37" s="100"/>
      <c r="D37" s="66"/>
      <c r="E37" s="67"/>
      <c r="F37" s="66"/>
      <c r="G37" s="66"/>
      <c r="H37" s="102"/>
      <c r="I37" s="79">
        <v>65.900000000000006</v>
      </c>
      <c r="J37" s="81">
        <f t="shared" si="0"/>
        <v>0</v>
      </c>
      <c r="K37" s="80">
        <f>13.56+52.34</f>
        <v>65.900000000000006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377.60700000000008</v>
      </c>
      <c r="C38" s="100"/>
      <c r="D38" s="66"/>
      <c r="E38" s="67"/>
      <c r="F38" s="66"/>
      <c r="G38" s="66"/>
      <c r="H38" s="102"/>
      <c r="I38" s="79">
        <v>377.61</v>
      </c>
      <c r="J38" s="81">
        <f t="shared" si="0"/>
        <v>-2.9999999999290594E-3</v>
      </c>
      <c r="K38" s="80">
        <v>377.61</v>
      </c>
      <c r="L38" s="186">
        <f>K38-B38</f>
        <v>2.9999999999290594E-3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65.900000000000006</v>
      </c>
      <c r="C43" s="95"/>
      <c r="D43" s="94"/>
      <c r="E43" s="96"/>
      <c r="F43" s="94"/>
      <c r="G43" s="94"/>
      <c r="H43" s="98"/>
      <c r="I43" s="99">
        <v>65.900000000000006</v>
      </c>
      <c r="J43" s="185">
        <f t="shared" si="0"/>
        <v>0</v>
      </c>
      <c r="K43" s="99">
        <v>65.900000000000006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377.60700000000008</v>
      </c>
      <c r="C44" s="95"/>
      <c r="D44" s="94"/>
      <c r="E44" s="96"/>
      <c r="F44" s="94"/>
      <c r="G44" s="94"/>
      <c r="H44" s="98"/>
      <c r="I44" s="99">
        <v>377.61</v>
      </c>
      <c r="J44" s="185">
        <f t="shared" si="0"/>
        <v>-2.9999999999290594E-3</v>
      </c>
      <c r="K44" s="99">
        <v>377.61</v>
      </c>
      <c r="L44" s="187">
        <f>K44-B44</f>
        <v>2.9999999999290594E-3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44767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6749.75</v>
      </c>
      <c r="C49" s="116">
        <v>7.4999999999999997E-3</v>
      </c>
      <c r="D49" s="117">
        <f t="shared" si="18"/>
        <v>50.623124999999995</v>
      </c>
      <c r="E49" s="172">
        <v>0</v>
      </c>
      <c r="F49" s="117">
        <f t="shared" si="15"/>
        <v>0</v>
      </c>
      <c r="G49" s="117">
        <f t="shared" si="16"/>
        <v>6699.1268749999999</v>
      </c>
      <c r="H49" s="173">
        <f t="shared" si="19"/>
        <v>44767</v>
      </c>
      <c r="I49" s="176">
        <f>1326.18+5423.57</f>
        <v>6749.75</v>
      </c>
      <c r="J49" s="81">
        <f t="shared" si="0"/>
        <v>0</v>
      </c>
      <c r="K49" s="80"/>
      <c r="L49" s="186">
        <f t="shared" si="17"/>
        <v>6699.1268749999999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197.11999999999998</v>
      </c>
      <c r="C50" s="116">
        <v>7.4999999999999997E-3</v>
      </c>
      <c r="D50" s="117">
        <f t="shared" si="18"/>
        <v>1.4783999999999997</v>
      </c>
      <c r="E50" s="172">
        <v>0</v>
      </c>
      <c r="F50" s="117">
        <f t="shared" si="15"/>
        <v>0</v>
      </c>
      <c r="G50" s="117">
        <f t="shared" si="16"/>
        <v>195.64159999999998</v>
      </c>
      <c r="H50" s="173">
        <f t="shared" si="19"/>
        <v>44767</v>
      </c>
      <c r="I50" s="175"/>
      <c r="J50" s="81">
        <f t="shared" si="0"/>
        <v>197.11999999999998</v>
      </c>
      <c r="K50" s="80">
        <v>195.64</v>
      </c>
      <c r="L50" s="186">
        <f t="shared" si="17"/>
        <v>1.5999999999962711E-3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92.65</v>
      </c>
      <c r="C51" s="116">
        <v>1.4999999999999999E-2</v>
      </c>
      <c r="D51" s="117">
        <f>+B51*C51</f>
        <v>1.38975</v>
      </c>
      <c r="E51" s="172">
        <v>0</v>
      </c>
      <c r="F51" s="117">
        <f>D51*E51</f>
        <v>0</v>
      </c>
      <c r="G51" s="117">
        <f t="shared" si="16"/>
        <v>91.260249999999999</v>
      </c>
      <c r="H51" s="173">
        <f t="shared" si="19"/>
        <v>44767</v>
      </c>
      <c r="I51" s="175">
        <v>289.77</v>
      </c>
      <c r="J51" s="81">
        <f t="shared" si="0"/>
        <v>-197.11999999999998</v>
      </c>
      <c r="K51" s="80">
        <v>91.26</v>
      </c>
      <c r="L51" s="186">
        <f t="shared" si="17"/>
        <v>2.4999999999408828E-4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248.09</v>
      </c>
      <c r="C56" s="116">
        <v>2.5000000000000001E-2</v>
      </c>
      <c r="D56" s="117">
        <f t="shared" si="20"/>
        <v>6.2022500000000003</v>
      </c>
      <c r="E56" s="172">
        <v>0.05</v>
      </c>
      <c r="F56" s="117">
        <f t="shared" si="21"/>
        <v>10.693534482758622</v>
      </c>
      <c r="G56" s="117">
        <f t="shared" si="22"/>
        <v>231.19421551724139</v>
      </c>
      <c r="H56" s="173">
        <f t="shared" si="19"/>
        <v>44767</v>
      </c>
      <c r="I56" s="176">
        <v>32.72</v>
      </c>
      <c r="J56" s="81">
        <f t="shared" si="0"/>
        <v>215.37</v>
      </c>
      <c r="K56" s="80"/>
      <c r="L56" s="186">
        <f t="shared" si="17"/>
        <v>231.19421551724139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59.693524999999994</v>
      </c>
      <c r="E61" s="177"/>
      <c r="F61" s="57">
        <f>SUM(F46:F58)</f>
        <v>10.693534482758622</v>
      </c>
      <c r="G61" s="57">
        <f>SUM(G46:G58)</f>
        <v>7217.2229405172411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7217.2229405172411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14434.445881034482</v>
      </c>
      <c r="H64" s="184"/>
      <c r="I64" s="175"/>
      <c r="J64" s="81">
        <f t="shared" si="0"/>
        <v>0</v>
      </c>
      <c r="K64" s="80"/>
      <c r="L64" s="186">
        <f t="shared" si="17"/>
        <v>14434.445881034482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12812.428500000002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12692.75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12800.9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178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-108.14999999999964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286</v>
      </c>
      <c r="Q70" s="228">
        <v>1001</v>
      </c>
      <c r="R70" s="222">
        <f>1257.57+1563.99</f>
        <v>2821.56</v>
      </c>
      <c r="S70" s="228"/>
      <c r="T70" s="247">
        <f>24.64+190.73</f>
        <v>215.37</v>
      </c>
      <c r="U70" s="189">
        <f t="shared" ref="U70:U74" si="34">((T70/U$10)*U$9)</f>
        <v>9.2831896551724142</v>
      </c>
      <c r="V70" s="189">
        <f t="shared" ref="V70:V74" si="35">R70*V$10</f>
        <v>21.1617</v>
      </c>
      <c r="W70" s="189">
        <f t="shared" ref="W70:W74" si="36">+S70*V$10</f>
        <v>0</v>
      </c>
      <c r="X70" s="189">
        <f t="shared" ref="X70:X74" si="37">+T70*X$10</f>
        <v>5.3842500000000006</v>
      </c>
      <c r="Y70" s="189">
        <f t="shared" ref="Y70:Z74" si="38">R70-V70</f>
        <v>2800.3982999999998</v>
      </c>
      <c r="Z70" s="189">
        <f t="shared" si="38"/>
        <v>0</v>
      </c>
      <c r="AA70" s="189">
        <f t="shared" ref="AA70:AA74" si="39">T70-U70-X70</f>
        <v>200.70256034482759</v>
      </c>
      <c r="AB70" s="87"/>
    </row>
    <row r="71" spans="1:30" ht="28.5" customHeight="1" thickBot="1" x14ac:dyDescent="0.3">
      <c r="A71" s="25" t="s">
        <v>57</v>
      </c>
      <c r="B71" s="70">
        <f>(B65-B69)-B72</f>
        <v>11.528500000002168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288</v>
      </c>
      <c r="Q71" s="228">
        <v>2001</v>
      </c>
      <c r="R71" s="222">
        <f>37.03+31.58</f>
        <v>68.61</v>
      </c>
      <c r="S71" s="228"/>
      <c r="T71" s="228"/>
      <c r="U71" s="189">
        <f t="shared" si="34"/>
        <v>0</v>
      </c>
      <c r="V71" s="189">
        <f t="shared" si="35"/>
        <v>0.514575</v>
      </c>
      <c r="W71" s="189">
        <f t="shared" si="36"/>
        <v>0</v>
      </c>
      <c r="X71" s="189">
        <f t="shared" si="37"/>
        <v>0</v>
      </c>
      <c r="Y71" s="189">
        <f t="shared" si="38"/>
        <v>68.095425000000006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287</v>
      </c>
      <c r="Q72" s="228">
        <v>2003</v>
      </c>
      <c r="R72" s="238">
        <f>1058.36+1423.29</f>
        <v>2481.6499999999996</v>
      </c>
      <c r="S72" s="228"/>
      <c r="T72" s="247">
        <v>32.72</v>
      </c>
      <c r="U72" s="189">
        <f t="shared" si="34"/>
        <v>1.4103448275862069</v>
      </c>
      <c r="V72" s="189">
        <f t="shared" si="35"/>
        <v>18.612374999999997</v>
      </c>
      <c r="W72" s="189">
        <f t="shared" si="36"/>
        <v>0</v>
      </c>
      <c r="X72" s="189">
        <f t="shared" si="37"/>
        <v>0.81800000000000006</v>
      </c>
      <c r="Y72" s="189">
        <f t="shared" si="38"/>
        <v>2463.0376249999995</v>
      </c>
      <c r="Z72" s="189">
        <f t="shared" si="38"/>
        <v>0</v>
      </c>
      <c r="AA72" s="189">
        <f t="shared" si="39"/>
        <v>30.49165517241379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373</v>
      </c>
      <c r="Q73" s="228">
        <v>2002</v>
      </c>
      <c r="R73" s="238">
        <v>9.9600000000000009</v>
      </c>
      <c r="S73" s="228"/>
      <c r="T73" s="228"/>
      <c r="U73" s="189">
        <f t="shared" si="34"/>
        <v>0</v>
      </c>
      <c r="V73" s="189">
        <f t="shared" si="35"/>
        <v>7.4700000000000003E-2</v>
      </c>
      <c r="W73" s="189">
        <f t="shared" si="36"/>
        <v>0</v>
      </c>
      <c r="X73" s="189">
        <f t="shared" si="37"/>
        <v>0</v>
      </c>
      <c r="Y73" s="189">
        <f t="shared" si="38"/>
        <v>9.8853000000000009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744</v>
      </c>
      <c r="Q74" s="228">
        <v>2001</v>
      </c>
      <c r="R74" s="238">
        <v>1367.97</v>
      </c>
      <c r="S74" s="228"/>
      <c r="T74" s="228"/>
      <c r="U74" s="189">
        <f t="shared" si="34"/>
        <v>0</v>
      </c>
      <c r="V74" s="189">
        <f t="shared" si="35"/>
        <v>10.259774999999999</v>
      </c>
      <c r="W74" s="189">
        <f t="shared" si="36"/>
        <v>0</v>
      </c>
      <c r="X74" s="189">
        <f t="shared" si="37"/>
        <v>0</v>
      </c>
      <c r="Y74" s="189">
        <f t="shared" si="38"/>
        <v>1357.710225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179</v>
      </c>
      <c r="O75" s="302"/>
      <c r="P75" s="303"/>
      <c r="Q75" s="303"/>
      <c r="R75" s="192">
        <f>SUM(R70:R74)</f>
        <v>6749.75</v>
      </c>
      <c r="S75" s="192"/>
      <c r="T75" s="192">
        <f>SUM(T70:T74)</f>
        <v>248.09</v>
      </c>
      <c r="U75" s="192">
        <f>SUM(U70:U74)</f>
        <v>10.693534482758622</v>
      </c>
      <c r="V75" s="192">
        <f t="shared" ref="V75:AA75" si="41">SUM(V70:V74)</f>
        <v>50.623124999999995</v>
      </c>
      <c r="W75" s="192">
        <f t="shared" si="41"/>
        <v>0</v>
      </c>
      <c r="X75" s="192">
        <f t="shared" si="41"/>
        <v>6.2022500000000012</v>
      </c>
      <c r="Y75" s="192">
        <f t="shared" si="41"/>
        <v>6699.126874999999</v>
      </c>
      <c r="Z75" s="192">
        <f t="shared" si="41"/>
        <v>0</v>
      </c>
      <c r="AA75" s="193">
        <f t="shared" si="41"/>
        <v>231.19421551724139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4.75</v>
      </c>
      <c r="Q78" s="87">
        <v>43.36</v>
      </c>
      <c r="R78" s="82">
        <v>7.4999999999999997E-3</v>
      </c>
      <c r="S78" s="194">
        <f>+(P78+Q78)*R78</f>
        <v>0.36082500000000001</v>
      </c>
      <c r="T78" s="237">
        <f>+(P78+Q78)-S78</f>
        <v>47.749175000000001</v>
      </c>
      <c r="U78" s="211">
        <v>51.52</v>
      </c>
      <c r="V78" s="112"/>
      <c r="W78" s="113">
        <v>1.4999999999999999E-2</v>
      </c>
      <c r="X78" s="196">
        <f>+(U78+V78)*W78</f>
        <v>0.77280000000000004</v>
      </c>
      <c r="Y78" s="213">
        <f>+(U78+V78)-X78</f>
        <v>50.747200000000007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195.64</v>
      </c>
      <c r="N79" s="87">
        <v>2</v>
      </c>
      <c r="O79" s="87" t="s">
        <v>112</v>
      </c>
      <c r="P79" s="137">
        <v>14.45</v>
      </c>
      <c r="Q79" s="87">
        <v>67.25</v>
      </c>
      <c r="R79" s="82">
        <v>7.4999999999999997E-3</v>
      </c>
      <c r="S79" s="194">
        <f t="shared" ref="S79:S97" si="43">+(P79+Q79)*R79</f>
        <v>0.61275000000000002</v>
      </c>
      <c r="T79" s="246">
        <f t="shared" ref="T79:T97" si="44">+(P79+Q79)-S79</f>
        <v>81.087249999999997</v>
      </c>
      <c r="U79" s="211">
        <v>33.93</v>
      </c>
      <c r="V79" s="112"/>
      <c r="W79" s="113">
        <v>1.4999999999999999E-2</v>
      </c>
      <c r="X79" s="196">
        <f t="shared" ref="X79:X97" si="45">+(U79+V79)*W79</f>
        <v>0.50895000000000001</v>
      </c>
      <c r="Y79" s="213">
        <f t="shared" ref="Y79:Y97" si="46">+(U79+V79)-X79</f>
        <v>33.421050000000001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4.78</v>
      </c>
      <c r="Q80" s="87">
        <v>62.53</v>
      </c>
      <c r="R80" s="82">
        <v>7.4999999999999997E-3</v>
      </c>
      <c r="S80" s="194">
        <f t="shared" si="43"/>
        <v>0.50482499999999997</v>
      </c>
      <c r="T80" s="237">
        <f t="shared" si="44"/>
        <v>66.805175000000006</v>
      </c>
      <c r="U80" s="211">
        <v>7.2</v>
      </c>
      <c r="V80" s="112"/>
      <c r="W80" s="113">
        <v>1.4999999999999999E-2</v>
      </c>
      <c r="X80" s="196">
        <f t="shared" si="45"/>
        <v>0.108</v>
      </c>
      <c r="Y80" s="237">
        <f t="shared" si="46"/>
        <v>7.0920000000000005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195.64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166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23.98</v>
      </c>
      <c r="Q98" s="195">
        <f>SUM(Q78:Q97)</f>
        <v>173.14</v>
      </c>
      <c r="R98" s="111"/>
      <c r="S98" s="195">
        <f>SUM(S78:S97)</f>
        <v>1.4784000000000002</v>
      </c>
      <c r="T98" s="195">
        <f>SUM(T78:T97)</f>
        <v>195.64159999999998</v>
      </c>
      <c r="U98" s="114">
        <f>SUM(U78:U97)</f>
        <v>92.65</v>
      </c>
      <c r="V98" s="114">
        <f>SUM(V78:V97)</f>
        <v>0</v>
      </c>
      <c r="W98" s="112"/>
      <c r="X98" s="197">
        <f>SUM(X78:X97)</f>
        <v>1.3897500000000003</v>
      </c>
      <c r="Y98" s="197">
        <f>SUM(Y78:Y97)</f>
        <v>91.260249999999999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99.63</v>
      </c>
    </row>
    <row r="101" spans="14:30" x14ac:dyDescent="0.25">
      <c r="N101" s="85"/>
      <c r="Q101" s="218">
        <f>P79+Q79+U79</f>
        <v>115.63</v>
      </c>
    </row>
    <row r="102" spans="14:30" x14ac:dyDescent="0.25">
      <c r="N102" s="85"/>
      <c r="Q102" s="215">
        <f>P80+Q80+U80</f>
        <v>74.510000000000005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  <c r="Q105" s="85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B7" sqref="B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1129</v>
      </c>
      <c r="C12" s="15"/>
      <c r="D12" s="56"/>
      <c r="E12" s="16"/>
      <c r="F12" s="56"/>
      <c r="G12" s="56"/>
      <c r="H12" s="17"/>
      <c r="I12" s="83">
        <v>1129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391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2240.4300000000003</v>
      </c>
      <c r="C14" s="15"/>
      <c r="D14" s="56"/>
      <c r="E14" s="16"/>
      <c r="F14" s="56"/>
      <c r="G14" s="56"/>
      <c r="H14" s="17"/>
      <c r="I14" s="83"/>
      <c r="J14" s="81">
        <f t="shared" si="0"/>
        <v>2240.4300000000003</v>
      </c>
      <c r="K14" s="80"/>
      <c r="L14" s="213" t="s">
        <v>166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391</v>
      </c>
      <c r="C19" s="95"/>
      <c r="D19" s="94"/>
      <c r="E19" s="96"/>
      <c r="F19" s="94"/>
      <c r="G19" s="94"/>
      <c r="H19" s="98"/>
      <c r="I19" s="99"/>
      <c r="J19" s="185">
        <f>B19-I19</f>
        <v>391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2240.4300000000003</v>
      </c>
      <c r="C20" s="95"/>
      <c r="D20" s="94"/>
      <c r="E20" s="96"/>
      <c r="F20" s="94"/>
      <c r="G20" s="94"/>
      <c r="H20" s="98"/>
      <c r="I20" s="99">
        <v>2240.4299999999998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211</v>
      </c>
      <c r="B49" s="117">
        <f>R75</f>
        <v>5764.1399999999994</v>
      </c>
      <c r="C49" s="116">
        <v>7.4999999999999997E-3</v>
      </c>
      <c r="D49" s="117">
        <f t="shared" si="18"/>
        <v>43.231049999999996</v>
      </c>
      <c r="E49" s="172">
        <v>0</v>
      </c>
      <c r="F49" s="117">
        <f t="shared" si="15"/>
        <v>0</v>
      </c>
      <c r="G49" s="117">
        <f t="shared" si="16"/>
        <v>5720.9089499999991</v>
      </c>
      <c r="H49" s="173">
        <f t="shared" si="19"/>
        <v>44768</v>
      </c>
      <c r="I49" s="176">
        <v>5764.14</v>
      </c>
      <c r="J49" s="81">
        <f t="shared" si="0"/>
        <v>0</v>
      </c>
      <c r="K49" s="80"/>
      <c r="L49" s="186">
        <f t="shared" si="17"/>
        <v>5720.9089499999991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337.73</v>
      </c>
      <c r="C50" s="116">
        <v>7.4999999999999997E-3</v>
      </c>
      <c r="D50" s="117">
        <f t="shared" si="18"/>
        <v>2.532975</v>
      </c>
      <c r="E50" s="172">
        <v>0</v>
      </c>
      <c r="F50" s="117">
        <f t="shared" si="15"/>
        <v>0</v>
      </c>
      <c r="G50" s="117">
        <f t="shared" si="16"/>
        <v>335.197025</v>
      </c>
      <c r="H50" s="173">
        <f t="shared" si="19"/>
        <v>44768</v>
      </c>
      <c r="I50" s="175"/>
      <c r="J50" s="81">
        <f t="shared" si="0"/>
        <v>337.73</v>
      </c>
      <c r="K50" s="80"/>
      <c r="L50" s="186">
        <f t="shared" si="17"/>
        <v>335.197025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327.12</v>
      </c>
      <c r="C51" s="116">
        <v>1.4999999999999999E-2</v>
      </c>
      <c r="D51" s="117">
        <f>+B51*C51</f>
        <v>4.9067999999999996</v>
      </c>
      <c r="E51" s="172">
        <v>0</v>
      </c>
      <c r="F51" s="117">
        <f>D51*E51</f>
        <v>0</v>
      </c>
      <c r="G51" s="117">
        <f t="shared" si="16"/>
        <v>322.21320000000003</v>
      </c>
      <c r="H51" s="173">
        <f t="shared" si="19"/>
        <v>44768</v>
      </c>
      <c r="I51" s="175">
        <v>664.85</v>
      </c>
      <c r="J51" s="81">
        <f t="shared" si="0"/>
        <v>-337.73</v>
      </c>
      <c r="K51" s="80"/>
      <c r="L51" s="186">
        <f t="shared" si="17"/>
        <v>322.21320000000003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210</v>
      </c>
      <c r="B56" s="117">
        <f>T75</f>
        <v>105.98000000000002</v>
      </c>
      <c r="C56" s="116">
        <v>2.5000000000000001E-2</v>
      </c>
      <c r="D56" s="117">
        <f t="shared" si="20"/>
        <v>2.6495000000000006</v>
      </c>
      <c r="E56" s="172">
        <v>0.05</v>
      </c>
      <c r="F56" s="117">
        <f t="shared" si="21"/>
        <v>4.5681034482758633</v>
      </c>
      <c r="G56" s="117">
        <f t="shared" si="22"/>
        <v>98.762396551724152</v>
      </c>
      <c r="H56" s="173">
        <f t="shared" si="19"/>
        <v>44768</v>
      </c>
      <c r="I56" s="176">
        <v>105.98</v>
      </c>
      <c r="J56" s="81">
        <f t="shared" si="0"/>
        <v>0</v>
      </c>
      <c r="K56" s="80"/>
      <c r="L56" s="186">
        <f t="shared" si="17"/>
        <v>98.762396551724152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53.320324999999997</v>
      </c>
      <c r="E61" s="177"/>
      <c r="F61" s="57">
        <f>SUM(F46:F58)</f>
        <v>4.5681034482758633</v>
      </c>
      <c r="G61" s="57">
        <f>SUM(G46:G58)</f>
        <v>6477.0815715517238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7"/>
        <v>6477.0815715517238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12954.163143103448</v>
      </c>
      <c r="H64" s="184"/>
      <c r="I64" s="175"/>
      <c r="J64" s="81">
        <f t="shared" si="0"/>
        <v>0</v>
      </c>
      <c r="K64" s="80"/>
      <c r="L64" s="186">
        <f t="shared" si="17"/>
        <v>12954.163143103448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9904.4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9838.86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9897.85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-58.989999999999782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6.5499999999992724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209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 t="s">
        <v>289</v>
      </c>
      <c r="Q72" s="228">
        <v>2003</v>
      </c>
      <c r="R72" s="222">
        <f>102.47+2217.69</f>
        <v>2320.16</v>
      </c>
      <c r="S72" s="228"/>
      <c r="T72" s="222">
        <v>46.75</v>
      </c>
      <c r="U72" s="189">
        <f t="shared" si="34"/>
        <v>2.015086206896552</v>
      </c>
      <c r="V72" s="189">
        <f t="shared" si="35"/>
        <v>17.401199999999999</v>
      </c>
      <c r="W72" s="189">
        <f t="shared" si="36"/>
        <v>0</v>
      </c>
      <c r="X72" s="189">
        <f t="shared" si="37"/>
        <v>1.16875</v>
      </c>
      <c r="Y72" s="189">
        <f t="shared" si="38"/>
        <v>2302.7588000000001</v>
      </c>
      <c r="Z72" s="189">
        <f t="shared" si="38"/>
        <v>0</v>
      </c>
      <c r="AA72" s="189">
        <f t="shared" si="39"/>
        <v>43.566163793103442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>
        <v>738</v>
      </c>
      <c r="Q73" s="228">
        <v>2002</v>
      </c>
      <c r="R73" s="222">
        <v>1737.11</v>
      </c>
      <c r="S73" s="228"/>
      <c r="T73" s="228">
        <v>45.02</v>
      </c>
      <c r="U73" s="189">
        <f t="shared" si="34"/>
        <v>1.9405172413793108</v>
      </c>
      <c r="V73" s="189">
        <f t="shared" si="35"/>
        <v>13.028324999999999</v>
      </c>
      <c r="W73" s="189">
        <f t="shared" si="36"/>
        <v>0</v>
      </c>
      <c r="X73" s="189">
        <f t="shared" si="37"/>
        <v>1.1255000000000002</v>
      </c>
      <c r="Y73" s="189">
        <f t="shared" si="38"/>
        <v>1724.0816749999999</v>
      </c>
      <c r="Z73" s="189">
        <f t="shared" si="38"/>
        <v>0</v>
      </c>
      <c r="AA73" s="189">
        <f t="shared" si="39"/>
        <v>41.95398275862069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745</v>
      </c>
      <c r="Q74" s="228">
        <v>2001</v>
      </c>
      <c r="R74" s="222">
        <v>1706.87</v>
      </c>
      <c r="S74" s="228"/>
      <c r="T74" s="222">
        <v>14.21</v>
      </c>
      <c r="U74" s="189">
        <f t="shared" si="34"/>
        <v>0.61250000000000016</v>
      </c>
      <c r="V74" s="189">
        <f t="shared" si="35"/>
        <v>12.801524999999998</v>
      </c>
      <c r="W74" s="189">
        <f t="shared" si="36"/>
        <v>0</v>
      </c>
      <c r="X74" s="189">
        <f t="shared" si="37"/>
        <v>0.35525000000000007</v>
      </c>
      <c r="Y74" s="189">
        <f t="shared" si="38"/>
        <v>1694.0684749999998</v>
      </c>
      <c r="Z74" s="189">
        <f t="shared" si="38"/>
        <v>0</v>
      </c>
      <c r="AA74" s="189">
        <f t="shared" si="39"/>
        <v>13.24225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5764.1399999999994</v>
      </c>
      <c r="S75" s="192"/>
      <c r="T75" s="192">
        <f>SUM(T70:T74)</f>
        <v>105.98000000000002</v>
      </c>
      <c r="U75" s="192">
        <f>SUM(U70:U74)</f>
        <v>4.5681034482758625</v>
      </c>
      <c r="V75" s="192">
        <f t="shared" ref="V75:AA75" si="41">SUM(V70:V74)</f>
        <v>43.231049999999996</v>
      </c>
      <c r="W75" s="192">
        <f t="shared" si="41"/>
        <v>0</v>
      </c>
      <c r="X75" s="192">
        <f t="shared" si="41"/>
        <v>2.6494999999999997</v>
      </c>
      <c r="Y75" s="192">
        <f t="shared" si="41"/>
        <v>5720.90895</v>
      </c>
      <c r="Z75" s="192">
        <f t="shared" si="41"/>
        <v>0</v>
      </c>
      <c r="AA75" s="193">
        <f t="shared" si="41"/>
        <v>98.762396551724137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15.75" x14ac:dyDescent="0.25">
      <c r="E77" s="231" t="s">
        <v>73</v>
      </c>
      <c r="F77" s="322"/>
      <c r="G77" s="322"/>
      <c r="H77" s="227" t="s">
        <v>160</v>
      </c>
      <c r="I77" s="231" t="s">
        <v>167</v>
      </c>
      <c r="J77" s="231" t="s">
        <v>168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39.200000000000003</v>
      </c>
      <c r="Q78" s="137"/>
      <c r="R78" s="82">
        <v>7.4999999999999997E-3</v>
      </c>
      <c r="S78" s="194">
        <f>+(P78+Q78)*R78</f>
        <v>0.29399999999999998</v>
      </c>
      <c r="T78" s="219">
        <f>+(P78+Q78)-S78</f>
        <v>38.906000000000006</v>
      </c>
      <c r="U78" s="211">
        <v>74.2</v>
      </c>
      <c r="V78" s="112"/>
      <c r="W78" s="113">
        <v>1.4999999999999999E-2</v>
      </c>
      <c r="X78" s="196">
        <f>+(U78+V78)*W78</f>
        <v>1.113</v>
      </c>
      <c r="Y78" s="217">
        <f>+(U78+V78)-X78</f>
        <v>73.087000000000003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89.6</v>
      </c>
      <c r="Q79" s="137"/>
      <c r="R79" s="82">
        <v>7.4999999999999997E-3</v>
      </c>
      <c r="S79" s="194">
        <f t="shared" ref="S79:S97" si="43">+(P79+Q79)*R79</f>
        <v>0.67199999999999993</v>
      </c>
      <c r="T79" s="219">
        <f t="shared" ref="T79:T97" si="44">+(P79+Q79)-S79</f>
        <v>88.927999999999997</v>
      </c>
      <c r="U79" s="211">
        <v>117.05</v>
      </c>
      <c r="V79" s="112"/>
      <c r="W79" s="113">
        <v>1.4999999999999999E-2</v>
      </c>
      <c r="X79" s="196">
        <f t="shared" ref="X79:X97" si="45">+(U79+V79)*W79</f>
        <v>1.7557499999999999</v>
      </c>
      <c r="Y79" s="217">
        <f t="shared" ref="Y79:Y97" si="46">+(U79+V79)-X79</f>
        <v>115.29424999999999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158.75</v>
      </c>
      <c r="Q80" s="137">
        <v>50.18</v>
      </c>
      <c r="R80" s="82">
        <v>7.4999999999999997E-3</v>
      </c>
      <c r="S80" s="194">
        <f t="shared" si="43"/>
        <v>1.566975</v>
      </c>
      <c r="T80" s="219">
        <f t="shared" si="44"/>
        <v>207.36302499999999</v>
      </c>
      <c r="U80" s="211">
        <v>135.87</v>
      </c>
      <c r="V80" s="112"/>
      <c r="W80" s="113">
        <v>1.4999999999999999E-2</v>
      </c>
      <c r="X80" s="196">
        <f t="shared" si="45"/>
        <v>2.0380500000000001</v>
      </c>
      <c r="Y80" s="217">
        <f t="shared" si="46"/>
        <v>133.83195000000001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287.55</v>
      </c>
      <c r="Q98" s="195">
        <f>SUM(Q78:Q97)</f>
        <v>50.18</v>
      </c>
      <c r="R98" s="111"/>
      <c r="S98" s="195">
        <f>SUM(S78:S97)</f>
        <v>2.532975</v>
      </c>
      <c r="T98" s="195">
        <f>SUM(T78:T97)</f>
        <v>335.197025</v>
      </c>
      <c r="U98" s="114">
        <f>SUM(U78:U97)</f>
        <v>327.12</v>
      </c>
      <c r="V98" s="114">
        <f>SUM(V78:V97)</f>
        <v>0</v>
      </c>
      <c r="W98" s="112"/>
      <c r="X98" s="197">
        <f>SUM(X78:X97)</f>
        <v>4.9068000000000005</v>
      </c>
      <c r="Y98" s="197">
        <f>SUM(Y78:Y97)</f>
        <v>322.21320000000003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113.4</v>
      </c>
    </row>
    <row r="101" spans="14:30" x14ac:dyDescent="0.25">
      <c r="N101" s="85"/>
      <c r="P101" s="215">
        <f>P79+Q79+U79</f>
        <v>206.64999999999998</v>
      </c>
    </row>
    <row r="102" spans="14:30" x14ac:dyDescent="0.25">
      <c r="N102" s="85"/>
      <c r="P102" s="215">
        <f>P80+U80+Q80</f>
        <v>344.8</v>
      </c>
    </row>
    <row r="103" spans="14:30" x14ac:dyDescent="0.25">
      <c r="N103" s="85"/>
      <c r="P103" s="215">
        <f>P81+Q81+U81</f>
        <v>0</v>
      </c>
    </row>
    <row r="104" spans="14:30" x14ac:dyDescent="0.25">
      <c r="N104" s="85"/>
      <c r="P104" s="215">
        <f>P82+U82+Q82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  <c r="P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B76" sqref="B7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19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5.75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699.5</v>
      </c>
      <c r="C12" s="15"/>
      <c r="D12" s="56"/>
      <c r="E12" s="16"/>
      <c r="F12" s="56"/>
      <c r="G12" s="56"/>
      <c r="H12" s="17"/>
      <c r="I12" s="83">
        <v>699.5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985.56000000000006</v>
      </c>
      <c r="C14" s="15"/>
      <c r="D14" s="56"/>
      <c r="E14" s="16"/>
      <c r="F14" s="56"/>
      <c r="G14" s="56"/>
      <c r="H14" s="17"/>
      <c r="I14" s="83"/>
      <c r="J14" s="81">
        <f t="shared" si="0"/>
        <v>985.56000000000006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174</v>
      </c>
      <c r="C15" s="15"/>
      <c r="D15" s="56"/>
      <c r="E15" s="16"/>
      <c r="F15" s="56"/>
      <c r="G15" s="56"/>
      <c r="H15" s="17"/>
      <c r="I15" s="83"/>
      <c r="J15" s="81">
        <f t="shared" si="0"/>
        <v>174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1000.5</v>
      </c>
      <c r="C16" s="15"/>
      <c r="D16" s="56"/>
      <c r="E16" s="16"/>
      <c r="F16" s="56"/>
      <c r="G16" s="56"/>
      <c r="H16" s="17"/>
      <c r="I16" s="83"/>
      <c r="J16" s="81">
        <f t="shared" si="0"/>
        <v>1000.5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346</v>
      </c>
      <c r="C19" s="95"/>
      <c r="D19" s="94"/>
      <c r="E19" s="96"/>
      <c r="F19" s="94"/>
      <c r="G19" s="94"/>
      <c r="H19" s="98"/>
      <c r="I19" s="99">
        <v>346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1986.06</v>
      </c>
      <c r="C20" s="95"/>
      <c r="D20" s="94"/>
      <c r="E20" s="96"/>
      <c r="F20" s="94"/>
      <c r="G20" s="94"/>
      <c r="H20" s="98"/>
      <c r="I20" s="99">
        <v>1999.88</v>
      </c>
      <c r="J20" s="185">
        <f t="shared" si="0"/>
        <v>-13.820000000000164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35.159999999999997</v>
      </c>
      <c r="C37" s="100"/>
      <c r="D37" s="66"/>
      <c r="E37" s="67"/>
      <c r="F37" s="66"/>
      <c r="G37" s="66"/>
      <c r="H37" s="102"/>
      <c r="I37" s="79">
        <v>35.159999999999997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201.46680000000001</v>
      </c>
      <c r="C38" s="100"/>
      <c r="D38" s="66"/>
      <c r="E38" s="67"/>
      <c r="F38" s="66"/>
      <c r="G38" s="66"/>
      <c r="H38" s="102"/>
      <c r="I38" s="79">
        <v>201.47</v>
      </c>
      <c r="J38" s="81">
        <f t="shared" si="0"/>
        <v>-3.1999999999925421E-3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35.159999999999997</v>
      </c>
      <c r="C43" s="95"/>
      <c r="D43" s="94"/>
      <c r="E43" s="96"/>
      <c r="F43" s="94"/>
      <c r="G43" s="94"/>
      <c r="H43" s="98"/>
      <c r="I43" s="99">
        <v>35.159999999999997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201.46680000000001</v>
      </c>
      <c r="C44" s="95"/>
      <c r="D44" s="94"/>
      <c r="E44" s="96"/>
      <c r="F44" s="94"/>
      <c r="G44" s="94"/>
      <c r="H44" s="98"/>
      <c r="I44" s="99">
        <v>201.47</v>
      </c>
      <c r="J44" s="185">
        <f t="shared" si="0"/>
        <v>-3.1999999999925421E-3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213</v>
      </c>
      <c r="B49" s="117">
        <f>R75</f>
        <v>6396.34</v>
      </c>
      <c r="C49" s="116">
        <v>7.4999999999999997E-3</v>
      </c>
      <c r="D49" s="117">
        <f t="shared" si="18"/>
        <v>47.972549999999998</v>
      </c>
      <c r="E49" s="172">
        <v>0</v>
      </c>
      <c r="F49" s="117">
        <f t="shared" si="15"/>
        <v>0</v>
      </c>
      <c r="G49" s="117">
        <f t="shared" si="16"/>
        <v>6348.3674499999997</v>
      </c>
      <c r="H49" s="173">
        <f t="shared" si="19"/>
        <v>44769</v>
      </c>
      <c r="I49" s="176">
        <f>488.32+5908.02</f>
        <v>6396.34</v>
      </c>
      <c r="J49" s="81">
        <f t="shared" si="0"/>
        <v>0</v>
      </c>
      <c r="K49" s="80"/>
      <c r="L49" s="186">
        <f t="shared" si="17"/>
        <v>6348.3674499999997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148.94999999999999</v>
      </c>
      <c r="C50" s="116">
        <v>7.4999999999999997E-3</v>
      </c>
      <c r="D50" s="117">
        <f t="shared" si="18"/>
        <v>1.1171249999999999</v>
      </c>
      <c r="E50" s="172">
        <v>0</v>
      </c>
      <c r="F50" s="117">
        <f t="shared" si="15"/>
        <v>0</v>
      </c>
      <c r="G50" s="117">
        <f t="shared" si="16"/>
        <v>147.832875</v>
      </c>
      <c r="H50" s="173">
        <f t="shared" si="19"/>
        <v>44769</v>
      </c>
      <c r="I50" s="175"/>
      <c r="J50" s="81">
        <f t="shared" si="0"/>
        <v>148.94999999999999</v>
      </c>
      <c r="K50" s="80"/>
      <c r="L50" s="186">
        <f t="shared" si="17"/>
        <v>147.832875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545.87</v>
      </c>
      <c r="C51" s="116">
        <v>1.4999999999999999E-2</v>
      </c>
      <c r="D51" s="117">
        <f>+B51*C51</f>
        <v>8.1880500000000005</v>
      </c>
      <c r="E51" s="172">
        <v>0</v>
      </c>
      <c r="F51" s="117">
        <f>D51*E51</f>
        <v>0</v>
      </c>
      <c r="G51" s="117">
        <f t="shared" si="16"/>
        <v>537.68195000000003</v>
      </c>
      <c r="H51" s="173">
        <f t="shared" si="19"/>
        <v>44769</v>
      </c>
      <c r="I51" s="175">
        <v>694.82</v>
      </c>
      <c r="J51" s="81">
        <f t="shared" si="0"/>
        <v>-148.95000000000005</v>
      </c>
      <c r="K51" s="80"/>
      <c r="L51" s="186">
        <f t="shared" si="17"/>
        <v>537.68195000000003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8.5399999999999991</v>
      </c>
      <c r="C56" s="116">
        <v>2.5000000000000001E-2</v>
      </c>
      <c r="D56" s="117">
        <f t="shared" si="20"/>
        <v>0.2135</v>
      </c>
      <c r="E56" s="172">
        <v>0.05</v>
      </c>
      <c r="F56" s="117">
        <f t="shared" si="21"/>
        <v>0.36810344827586206</v>
      </c>
      <c r="G56" s="117">
        <f t="shared" si="22"/>
        <v>7.9583965517241371</v>
      </c>
      <c r="H56" s="173">
        <f t="shared" si="19"/>
        <v>44769</v>
      </c>
      <c r="I56" s="176">
        <v>8.5399999999999991</v>
      </c>
      <c r="J56" s="81">
        <f t="shared" si="0"/>
        <v>0</v>
      </c>
      <c r="K56" s="80"/>
      <c r="L56" s="186">
        <f t="shared" si="17"/>
        <v>7.9583965517241371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57.491225000000007</v>
      </c>
      <c r="E61" s="177"/>
      <c r="F61" s="57">
        <f>SUM(F46:F58)</f>
        <v>0.36810344827586206</v>
      </c>
      <c r="G61" s="57">
        <f>SUM(G46:G58)</f>
        <v>7041.840671551724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7041.840671551724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14083.681343103448</v>
      </c>
      <c r="H64" s="184"/>
      <c r="I64" s="175"/>
      <c r="J64" s="81">
        <f t="shared" si="0"/>
        <v>0</v>
      </c>
      <c r="K64" s="80"/>
      <c r="L64" s="186">
        <f t="shared" si="17"/>
        <v>14083.681343103448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9986.7268000000022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9919.7999999999993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9919.7999999999993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212</v>
      </c>
      <c r="P70" s="228">
        <v>258</v>
      </c>
      <c r="Q70" s="228">
        <v>2001</v>
      </c>
      <c r="R70" s="222">
        <v>488.32</v>
      </c>
      <c r="S70" s="228"/>
      <c r="T70" s="228">
        <v>8.5399999999999991</v>
      </c>
      <c r="U70" s="189">
        <f t="shared" ref="U70:U74" si="34">((T70/U$10)*U$9)</f>
        <v>0.36810344827586206</v>
      </c>
      <c r="V70" s="189">
        <f t="shared" ref="V70:V74" si="35">R70*V$10</f>
        <v>3.6623999999999999</v>
      </c>
      <c r="W70" s="189">
        <f t="shared" ref="W70:W74" si="36">+S70*V$10</f>
        <v>0</v>
      </c>
      <c r="X70" s="189">
        <f t="shared" ref="X70:X74" si="37">+T70*X$10</f>
        <v>0.2135</v>
      </c>
      <c r="Y70" s="189">
        <f t="shared" ref="Y70:Z74" si="38">R70-V70</f>
        <v>484.6576</v>
      </c>
      <c r="Z70" s="189">
        <f t="shared" si="38"/>
        <v>0</v>
      </c>
      <c r="AA70" s="189">
        <f t="shared" ref="AA70:AA74" si="39">T70-U70-X70</f>
        <v>7.9583965517241371</v>
      </c>
      <c r="AB70" s="87"/>
    </row>
    <row r="71" spans="1:30" ht="28.5" customHeight="1" thickBot="1" x14ac:dyDescent="0.3">
      <c r="A71" s="25" t="s">
        <v>57</v>
      </c>
      <c r="B71" s="70">
        <f>(B65-B69)-B72</f>
        <v>66.926800000002913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>
        <v>54</v>
      </c>
      <c r="Q72" s="228">
        <v>2003</v>
      </c>
      <c r="R72" s="222">
        <v>98.48</v>
      </c>
      <c r="S72" s="228"/>
      <c r="T72" s="228"/>
      <c r="U72" s="189">
        <f t="shared" si="34"/>
        <v>0</v>
      </c>
      <c r="V72" s="189">
        <f t="shared" si="35"/>
        <v>0.73860000000000003</v>
      </c>
      <c r="W72" s="189">
        <f t="shared" si="36"/>
        <v>0</v>
      </c>
      <c r="X72" s="189">
        <f t="shared" si="37"/>
        <v>0</v>
      </c>
      <c r="Y72" s="189">
        <f t="shared" si="38"/>
        <v>97.741399999999999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 t="s">
        <v>290</v>
      </c>
      <c r="Q73" s="228">
        <v>2002</v>
      </c>
      <c r="R73" s="222">
        <f>1322.46+921.24</f>
        <v>2243.6999999999998</v>
      </c>
      <c r="S73" s="228"/>
      <c r="T73" s="222"/>
      <c r="U73" s="189">
        <f t="shared" si="34"/>
        <v>0</v>
      </c>
      <c r="V73" s="189">
        <f t="shared" si="35"/>
        <v>16.827749999999998</v>
      </c>
      <c r="W73" s="189">
        <f t="shared" si="36"/>
        <v>0</v>
      </c>
      <c r="X73" s="189">
        <f t="shared" si="37"/>
        <v>0</v>
      </c>
      <c r="Y73" s="189">
        <f t="shared" si="38"/>
        <v>2226.8722499999999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747</v>
      </c>
      <c r="Q74" s="228">
        <v>2001</v>
      </c>
      <c r="R74" s="222">
        <f>1951.28+1614.56</f>
        <v>3565.84</v>
      </c>
      <c r="S74" s="228"/>
      <c r="T74" s="228"/>
      <c r="U74" s="189">
        <f t="shared" si="34"/>
        <v>0</v>
      </c>
      <c r="V74" s="189">
        <f t="shared" si="35"/>
        <v>26.7438</v>
      </c>
      <c r="W74" s="189">
        <f t="shared" si="36"/>
        <v>0</v>
      </c>
      <c r="X74" s="189">
        <f t="shared" si="37"/>
        <v>0</v>
      </c>
      <c r="Y74" s="189">
        <f t="shared" si="38"/>
        <v>3539.0962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6396.34</v>
      </c>
      <c r="S75" s="192"/>
      <c r="T75" s="192">
        <f>SUM(T70:T74)</f>
        <v>8.5399999999999991</v>
      </c>
      <c r="U75" s="192">
        <f>SUM(U70:U74)</f>
        <v>0.36810344827586206</v>
      </c>
      <c r="V75" s="192">
        <f t="shared" ref="V75:AA75" si="41">SUM(V70:V74)</f>
        <v>47.972549999999998</v>
      </c>
      <c r="W75" s="192">
        <f t="shared" si="41"/>
        <v>0</v>
      </c>
      <c r="X75" s="192">
        <f t="shared" si="41"/>
        <v>0.2135</v>
      </c>
      <c r="Y75" s="192">
        <f t="shared" si="41"/>
        <v>6348.3674499999997</v>
      </c>
      <c r="Z75" s="192">
        <f t="shared" si="41"/>
        <v>0</v>
      </c>
      <c r="AA75" s="193">
        <f t="shared" si="41"/>
        <v>7.9583965517241371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33.700000000000003</v>
      </c>
      <c r="Q78" s="87"/>
      <c r="R78" s="82">
        <v>7.4999999999999997E-3</v>
      </c>
      <c r="S78" s="216">
        <f>+(P78+Q78)*R78</f>
        <v>0.25275000000000003</v>
      </c>
      <c r="T78" s="219">
        <f>+(P78+Q78)-S78</f>
        <v>33.447250000000004</v>
      </c>
      <c r="U78" s="211">
        <v>88.62</v>
      </c>
      <c r="V78" s="112"/>
      <c r="W78" s="113">
        <v>1.4999999999999999E-2</v>
      </c>
      <c r="X78" s="196">
        <f>+(U78+V78)*W78</f>
        <v>1.3292999999999999</v>
      </c>
      <c r="Y78" s="217">
        <f>+(U78+V78)-X78</f>
        <v>87.290700000000001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94.93</v>
      </c>
      <c r="Q79" s="87"/>
      <c r="R79" s="82">
        <v>7.4999999999999997E-3</v>
      </c>
      <c r="S79" s="216">
        <f>+(P79+Q79)*R79</f>
        <v>0.71197500000000002</v>
      </c>
      <c r="T79" s="219">
        <f>+(P79+Q79)-S79</f>
        <v>94.218025000000011</v>
      </c>
      <c r="U79" s="211">
        <v>241.37</v>
      </c>
      <c r="V79" s="112"/>
      <c r="W79" s="113">
        <v>1.4999999999999999E-2</v>
      </c>
      <c r="X79" s="196">
        <f t="shared" ref="X79:X97" si="43">+(U79+V79)*W79</f>
        <v>3.6205499999999997</v>
      </c>
      <c r="Y79" s="217">
        <f t="shared" ref="Y79:Y97" si="44">+(U79+V79)-X79</f>
        <v>237.74945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5.73</v>
      </c>
      <c r="Q80" s="137"/>
      <c r="R80" s="82">
        <v>7.4999999999999997E-3</v>
      </c>
      <c r="S80" s="194">
        <f t="shared" ref="S80:S97" si="47">+(P80+Q80)*R80</f>
        <v>4.2974999999999999E-2</v>
      </c>
      <c r="T80" s="219">
        <f t="shared" ref="T80:T97" si="48">+(P80+Q80)-S80</f>
        <v>5.6870250000000002</v>
      </c>
      <c r="U80" s="211">
        <v>127.85</v>
      </c>
      <c r="V80" s="112"/>
      <c r="W80" s="113">
        <v>1.4999999999999999E-2</v>
      </c>
      <c r="X80" s="196">
        <f t="shared" si="43"/>
        <v>1.9177499999999998</v>
      </c>
      <c r="Y80" s="217">
        <f t="shared" si="44"/>
        <v>125.93225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14.59</v>
      </c>
      <c r="Q81" s="137"/>
      <c r="R81" s="82">
        <v>7.4999999999999997E-3</v>
      </c>
      <c r="S81" s="194">
        <f t="shared" si="47"/>
        <v>0.10942499999999999</v>
      </c>
      <c r="T81" s="219">
        <f t="shared" si="48"/>
        <v>14.480575</v>
      </c>
      <c r="U81" s="211">
        <v>88.03</v>
      </c>
      <c r="V81" s="112"/>
      <c r="W81" s="113">
        <v>1.4999999999999999E-2</v>
      </c>
      <c r="X81" s="196">
        <f t="shared" si="43"/>
        <v>1.3204499999999999</v>
      </c>
      <c r="Y81" s="217">
        <f t="shared" si="44"/>
        <v>86.709550000000007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3"/>
        <v>0</v>
      </c>
      <c r="Y82" s="217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17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148.94999999999999</v>
      </c>
      <c r="Q98" s="195">
        <f>SUM(Q78:Q97)</f>
        <v>0</v>
      </c>
      <c r="R98" s="111"/>
      <c r="S98" s="195">
        <f>SUM(S78:S97)</f>
        <v>1.1171250000000001</v>
      </c>
      <c r="T98" s="195">
        <f>SUM(T78:T97)</f>
        <v>147.832875</v>
      </c>
      <c r="U98" s="114">
        <f>SUM(U78:U97)</f>
        <v>545.87</v>
      </c>
      <c r="V98" s="114">
        <f>SUM(V78:V97)</f>
        <v>0</v>
      </c>
      <c r="W98" s="112"/>
      <c r="X98" s="197">
        <f>SUM(X78:X97)</f>
        <v>8.1880499999999987</v>
      </c>
      <c r="Y98" s="197">
        <f>SUM(Y78:Y97)</f>
        <v>537.68195000000003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122.32000000000001</v>
      </c>
    </row>
    <row r="101" spans="14:30" x14ac:dyDescent="0.25">
      <c r="N101" s="85"/>
      <c r="Q101" s="215">
        <f>P79+Q79+U79</f>
        <v>336.3</v>
      </c>
    </row>
    <row r="102" spans="14:30" x14ac:dyDescent="0.25">
      <c r="N102" s="85"/>
      <c r="Q102" s="215">
        <f>P80+Q80+U80</f>
        <v>133.57999999999998</v>
      </c>
    </row>
    <row r="103" spans="14:30" x14ac:dyDescent="0.25">
      <c r="N103" s="85"/>
      <c r="Q103" s="215">
        <f t="shared" ref="Q103:Q105" si="50">P81+Q81+U81</f>
        <v>102.62</v>
      </c>
    </row>
    <row r="104" spans="14:30" x14ac:dyDescent="0.25">
      <c r="N104" s="85"/>
      <c r="Q104" s="236">
        <f t="shared" si="50"/>
        <v>0</v>
      </c>
    </row>
    <row r="105" spans="14:30" x14ac:dyDescent="0.25">
      <c r="N105" s="85"/>
      <c r="Q105" s="224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F60" sqref="F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44769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5.75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329+197+71.5+115.5+7+111.5</f>
        <v>831.5</v>
      </c>
      <c r="C12" s="15"/>
      <c r="D12" s="56"/>
      <c r="E12" s="16"/>
      <c r="F12" s="56"/>
      <c r="G12" s="56"/>
      <c r="H12" s="17"/>
      <c r="I12" s="83">
        <v>831.5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328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1886</v>
      </c>
      <c r="C14" s="15"/>
      <c r="D14" s="56"/>
      <c r="E14" s="16"/>
      <c r="F14" s="56"/>
      <c r="G14" s="56"/>
      <c r="H14" s="17"/>
      <c r="I14" s="83"/>
      <c r="J14" s="81">
        <f t="shared" si="0"/>
        <v>1886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328</v>
      </c>
      <c r="C19" s="95"/>
      <c r="D19" s="94"/>
      <c r="E19" s="96"/>
      <c r="F19" s="94"/>
      <c r="G19" s="94"/>
      <c r="H19" s="98"/>
      <c r="I19" s="99">
        <v>328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1886</v>
      </c>
      <c r="C20" s="95"/>
      <c r="D20" s="94"/>
      <c r="E20" s="96"/>
      <c r="F20" s="94"/>
      <c r="G20" s="94"/>
      <c r="H20" s="98"/>
      <c r="I20" s="99">
        <v>1895.84</v>
      </c>
      <c r="J20" s="185">
        <f t="shared" si="0"/>
        <v>-9.8399999999999181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44770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4124.57</v>
      </c>
      <c r="C49" s="116">
        <v>7.4999999999999997E-3</v>
      </c>
      <c r="D49" s="117">
        <f t="shared" si="18"/>
        <v>30.934274999999996</v>
      </c>
      <c r="E49" s="172">
        <v>0</v>
      </c>
      <c r="F49" s="117">
        <f t="shared" si="15"/>
        <v>0</v>
      </c>
      <c r="G49" s="117">
        <f t="shared" si="16"/>
        <v>4093.6357249999996</v>
      </c>
      <c r="H49" s="173">
        <f t="shared" si="19"/>
        <v>44770</v>
      </c>
      <c r="I49" s="176">
        <f>791.89+3332.68</f>
        <v>4124.57</v>
      </c>
      <c r="J49" s="81">
        <f t="shared" si="0"/>
        <v>0</v>
      </c>
      <c r="K49" s="80"/>
      <c r="L49" s="186">
        <f t="shared" si="17"/>
        <v>4093.6357249999996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410.75000000000006</v>
      </c>
      <c r="C50" s="116">
        <v>7.4999999999999997E-3</v>
      </c>
      <c r="D50" s="117">
        <f t="shared" si="18"/>
        <v>3.0806250000000004</v>
      </c>
      <c r="E50" s="172">
        <v>0</v>
      </c>
      <c r="F50" s="117">
        <f t="shared" si="15"/>
        <v>0</v>
      </c>
      <c r="G50" s="117">
        <f t="shared" si="16"/>
        <v>407.66937500000006</v>
      </c>
      <c r="H50" s="173">
        <f t="shared" si="19"/>
        <v>44770</v>
      </c>
      <c r="I50" s="175">
        <v>1160.27</v>
      </c>
      <c r="J50" s="81">
        <f t="shared" si="0"/>
        <v>-749.52</v>
      </c>
      <c r="K50" s="80"/>
      <c r="L50" s="186">
        <f t="shared" si="17"/>
        <v>407.66937500000006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749.52</v>
      </c>
      <c r="C51" s="116">
        <v>1.4999999999999999E-2</v>
      </c>
      <c r="D51" s="117">
        <f>+B51*C51</f>
        <v>11.242799999999999</v>
      </c>
      <c r="E51" s="172">
        <v>0</v>
      </c>
      <c r="F51" s="117">
        <f>D51*E51</f>
        <v>0</v>
      </c>
      <c r="G51" s="117">
        <f t="shared" si="16"/>
        <v>738.27719999999999</v>
      </c>
      <c r="H51" s="173">
        <f t="shared" si="19"/>
        <v>44770</v>
      </c>
      <c r="I51" s="175"/>
      <c r="J51" s="81">
        <f t="shared" si="0"/>
        <v>749.52</v>
      </c>
      <c r="K51" s="80"/>
      <c r="L51" s="186">
        <f t="shared" si="17"/>
        <v>738.27719999999999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44770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187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64.14</v>
      </c>
      <c r="C56" s="116">
        <v>2.5000000000000001E-2</v>
      </c>
      <c r="D56" s="117">
        <f t="shared" si="20"/>
        <v>1.6035000000000001</v>
      </c>
      <c r="E56" s="172">
        <v>0.05</v>
      </c>
      <c r="F56" s="117">
        <f t="shared" si="21"/>
        <v>2.7646551724137933</v>
      </c>
      <c r="G56" s="117">
        <f t="shared" si="22"/>
        <v>59.771844827586207</v>
      </c>
      <c r="H56" s="173">
        <f t="shared" si="19"/>
        <v>44770</v>
      </c>
      <c r="I56" s="176">
        <v>64.14</v>
      </c>
      <c r="J56" s="81">
        <f t="shared" si="0"/>
        <v>0</v>
      </c>
      <c r="K56" s="80"/>
      <c r="L56" s="186">
        <f t="shared" si="17"/>
        <v>59.771844827586207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46.861199999999997</v>
      </c>
      <c r="E61" s="177"/>
      <c r="F61" s="57">
        <f>SUM(F46:F58)</f>
        <v>2.7646551724137933</v>
      </c>
      <c r="G61" s="57">
        <f>SUM(G46:G58)</f>
        <v>5299.3541448275864</v>
      </c>
      <c r="H61" s="173">
        <f t="shared" si="19"/>
        <v>44770</v>
      </c>
      <c r="I61" s="175"/>
      <c r="J61" s="81">
        <f t="shared" si="0"/>
        <v>0</v>
      </c>
      <c r="K61" s="80"/>
      <c r="L61" s="186">
        <f t="shared" si="17"/>
        <v>5299.3541448275864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10598.708289655173</v>
      </c>
      <c r="H64" s="184"/>
      <c r="I64" s="175"/>
      <c r="J64" s="81">
        <f t="shared" si="0"/>
        <v>0</v>
      </c>
      <c r="K64" s="80"/>
      <c r="L64" s="186">
        <f t="shared" si="17"/>
        <v>10598.708289655173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8066.4800000000005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8015.63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7966.06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49.569999999999709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214</v>
      </c>
      <c r="P70" s="228"/>
      <c r="Q70" s="228">
        <v>226</v>
      </c>
      <c r="R70" s="222">
        <v>241.47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1.8110249999999999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239.658975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50.850000000000364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214</v>
      </c>
      <c r="P71" s="228"/>
      <c r="Q71" s="228">
        <v>227</v>
      </c>
      <c r="R71" s="222">
        <f>65.62+484.8</f>
        <v>550.42000000000007</v>
      </c>
      <c r="S71" s="87"/>
      <c r="T71" s="87"/>
      <c r="U71" s="189">
        <f t="shared" si="34"/>
        <v>0</v>
      </c>
      <c r="V71" s="189">
        <f t="shared" si="35"/>
        <v>4.1281500000000007</v>
      </c>
      <c r="W71" s="189">
        <f t="shared" si="36"/>
        <v>0</v>
      </c>
      <c r="X71" s="189">
        <f t="shared" si="37"/>
        <v>0</v>
      </c>
      <c r="Y71" s="189">
        <f t="shared" si="38"/>
        <v>546.29185000000007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/>
      <c r="Q72" s="228">
        <v>55</v>
      </c>
      <c r="R72" s="255">
        <v>58.8</v>
      </c>
      <c r="S72" s="87"/>
      <c r="T72" s="256"/>
      <c r="U72" s="189">
        <f t="shared" si="34"/>
        <v>0</v>
      </c>
      <c r="V72" s="189">
        <f t="shared" si="35"/>
        <v>0.44099999999999995</v>
      </c>
      <c r="W72" s="189">
        <f t="shared" si="36"/>
        <v>0</v>
      </c>
      <c r="X72" s="189">
        <f t="shared" si="37"/>
        <v>0</v>
      </c>
      <c r="Y72" s="189">
        <f t="shared" si="38"/>
        <v>58.358999999999995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184</v>
      </c>
      <c r="P73" s="87"/>
      <c r="Q73" s="87">
        <v>56</v>
      </c>
      <c r="R73" s="255">
        <f>412.49+744.63+904.18</f>
        <v>2061.2999999999997</v>
      </c>
      <c r="S73" s="87"/>
      <c r="T73" s="87">
        <v>64.14</v>
      </c>
      <c r="U73" s="189">
        <f t="shared" si="34"/>
        <v>2.7646551724137933</v>
      </c>
      <c r="V73" s="189">
        <f t="shared" si="35"/>
        <v>15.459749999999998</v>
      </c>
      <c r="W73" s="189">
        <f t="shared" si="36"/>
        <v>0</v>
      </c>
      <c r="X73" s="189">
        <f t="shared" si="37"/>
        <v>1.6035000000000001</v>
      </c>
      <c r="Y73" s="189">
        <f t="shared" si="38"/>
        <v>2045.8402499999997</v>
      </c>
      <c r="Z73" s="189">
        <f t="shared" si="38"/>
        <v>0</v>
      </c>
      <c r="AA73" s="189">
        <f t="shared" si="39"/>
        <v>59.771844827586207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184</v>
      </c>
      <c r="P74" s="87"/>
      <c r="Q74" s="87" t="s">
        <v>291</v>
      </c>
      <c r="R74" s="255">
        <f>832.98+379.6</f>
        <v>1212.58</v>
      </c>
      <c r="S74" s="87"/>
      <c r="T74" s="87"/>
      <c r="U74" s="189">
        <f t="shared" si="34"/>
        <v>0</v>
      </c>
      <c r="V74" s="189">
        <f t="shared" si="35"/>
        <v>9.0943499999999986</v>
      </c>
      <c r="W74" s="189">
        <f t="shared" si="36"/>
        <v>0</v>
      </c>
      <c r="X74" s="189">
        <f t="shared" si="37"/>
        <v>0</v>
      </c>
      <c r="Y74" s="189">
        <f t="shared" si="38"/>
        <v>1203.4856499999999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4124.57</v>
      </c>
      <c r="S75" s="192"/>
      <c r="T75" s="192">
        <f>SUM(T70:T74)</f>
        <v>64.14</v>
      </c>
      <c r="U75" s="192">
        <f>SUM(U70:U74)</f>
        <v>2.7646551724137933</v>
      </c>
      <c r="V75" s="192">
        <f t="shared" ref="V75:AA75" si="41">SUM(V70:V74)</f>
        <v>30.934274999999996</v>
      </c>
      <c r="W75" s="192">
        <f t="shared" si="41"/>
        <v>0</v>
      </c>
      <c r="X75" s="192">
        <f t="shared" si="41"/>
        <v>1.6035000000000001</v>
      </c>
      <c r="Y75" s="192">
        <f t="shared" si="41"/>
        <v>4093.6357250000001</v>
      </c>
      <c r="Z75" s="192">
        <f t="shared" si="41"/>
        <v>0</v>
      </c>
      <c r="AA75" s="193">
        <f t="shared" si="41"/>
        <v>59.771844827586207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2</v>
      </c>
      <c r="O78" s="87" t="s">
        <v>112</v>
      </c>
      <c r="P78" s="137"/>
      <c r="Q78" s="137">
        <f>55.9+15.08</f>
        <v>70.98</v>
      </c>
      <c r="R78" s="82">
        <v>7.4999999999999997E-3</v>
      </c>
      <c r="S78" s="216">
        <f>+(P78+Q78)*R78</f>
        <v>0.53234999999999999</v>
      </c>
      <c r="T78" s="213">
        <f>+(P78+Q78)-S78</f>
        <v>70.44765000000001</v>
      </c>
      <c r="U78" s="211">
        <f>130.66+191.76</f>
        <v>322.41999999999996</v>
      </c>
      <c r="V78" s="112"/>
      <c r="W78" s="113">
        <v>1.4999999999999999E-2</v>
      </c>
      <c r="X78" s="217">
        <f>+(U78+V78)*W78</f>
        <v>4.8362999999999996</v>
      </c>
      <c r="Y78" s="246">
        <f>+(U78+V78)-X78</f>
        <v>317.58369999999996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3</v>
      </c>
      <c r="O79" s="87" t="s">
        <v>112</v>
      </c>
      <c r="P79" s="137"/>
      <c r="Q79" s="137">
        <f>234.53+43.14+62.1</f>
        <v>339.77000000000004</v>
      </c>
      <c r="R79" s="82">
        <v>7.4999999999999997E-3</v>
      </c>
      <c r="S79" s="216">
        <f t="shared" ref="S79:S97" si="43">+(P79+Q79)*R79</f>
        <v>2.5482750000000003</v>
      </c>
      <c r="T79" s="219">
        <f t="shared" ref="T79:T97" si="44">+(P79+Q79)-S79</f>
        <v>337.22172500000005</v>
      </c>
      <c r="U79" s="211">
        <f>291.1+136</f>
        <v>427.1</v>
      </c>
      <c r="V79" s="112"/>
      <c r="W79" s="113">
        <v>1.4999999999999999E-2</v>
      </c>
      <c r="X79" s="217">
        <f t="shared" ref="X79:X97" si="45">+(U79+V79)*W79</f>
        <v>6.4065000000000003</v>
      </c>
      <c r="Y79" s="246">
        <f t="shared" ref="Y79:Y97" si="46">+(U79+V79)-X79</f>
        <v>420.69350000000003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216">
        <f t="shared" si="43"/>
        <v>0</v>
      </c>
      <c r="T81" s="246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5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45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410.75000000000006</v>
      </c>
      <c r="R98" s="111"/>
      <c r="S98" s="195">
        <f>SUM(S78:S97)</f>
        <v>3.0806250000000004</v>
      </c>
      <c r="T98" s="195">
        <f>SUM(T78:T97)</f>
        <v>407.66937500000006</v>
      </c>
      <c r="U98" s="114">
        <f>SUM(U78:U97)</f>
        <v>749.52</v>
      </c>
      <c r="V98" s="114">
        <f>SUM(V78:V97)</f>
        <v>0</v>
      </c>
      <c r="W98" s="112"/>
      <c r="X98" s="197">
        <f>SUM(X78:X97)</f>
        <v>11.242799999999999</v>
      </c>
      <c r="Y98" s="197">
        <f>SUM(Y78:Y97)</f>
        <v>738.27719999999999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41">
        <f>P78+U78+Q78</f>
        <v>393.4</v>
      </c>
    </row>
    <row r="102" spans="14:30" x14ac:dyDescent="0.25">
      <c r="N102" s="85"/>
      <c r="P102" s="218">
        <f>P79+U79+Q79</f>
        <v>766.87000000000012</v>
      </c>
    </row>
    <row r="103" spans="14:30" x14ac:dyDescent="0.25">
      <c r="N103" s="85"/>
      <c r="P103" s="218">
        <f>P80+Q80+U80</f>
        <v>0</v>
      </c>
    </row>
    <row r="104" spans="14:30" x14ac:dyDescent="0.25">
      <c r="N104" s="85"/>
      <c r="P104" s="218">
        <f>P81+U81+Q81</f>
        <v>0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8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9" zoomScale="90" zoomScaleNormal="90" workbookViewId="0">
      <selection activeCell="H52" sqref="H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44770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f>5.77</f>
        <v>5.77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155+45.5+38.5+251.5+59.5</f>
        <v>550</v>
      </c>
      <c r="C12" s="15"/>
      <c r="D12" s="56"/>
      <c r="E12" s="16"/>
      <c r="F12" s="56"/>
      <c r="G12" s="56"/>
      <c r="H12" s="17"/>
      <c r="I12" s="83">
        <v>550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52+12+60+1</f>
        <v>125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721.25</v>
      </c>
      <c r="C14" s="15"/>
      <c r="D14" s="56"/>
      <c r="E14" s="16"/>
      <c r="F14" s="56"/>
      <c r="G14" s="56"/>
      <c r="H14" s="17"/>
      <c r="I14" s="83"/>
      <c r="J14" s="81">
        <f t="shared" si="0"/>
        <v>721.25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f>70+178</f>
        <v>248</v>
      </c>
      <c r="C15" s="15"/>
      <c r="D15" s="56"/>
      <c r="E15" s="16"/>
      <c r="F15" s="56"/>
      <c r="G15" s="56"/>
      <c r="H15" s="17"/>
      <c r="I15" s="83"/>
      <c r="J15" s="81">
        <f t="shared" si="0"/>
        <v>248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1433.44</v>
      </c>
      <c r="C16" s="15"/>
      <c r="D16" s="56"/>
      <c r="E16" s="16"/>
      <c r="F16" s="56"/>
      <c r="G16" s="56"/>
      <c r="H16" s="17"/>
      <c r="I16" s="83"/>
      <c r="J16" s="81">
        <f t="shared" si="0"/>
        <v>1433.44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373</v>
      </c>
      <c r="C19" s="95"/>
      <c r="D19" s="94"/>
      <c r="E19" s="96"/>
      <c r="F19" s="94"/>
      <c r="G19" s="94"/>
      <c r="H19" s="98"/>
      <c r="I19" s="99"/>
      <c r="J19" s="185">
        <f>B19-I19</f>
        <v>373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2154.69</v>
      </c>
      <c r="C20" s="95"/>
      <c r="D20" s="94"/>
      <c r="E20" s="96"/>
      <c r="F20" s="94"/>
      <c r="G20" s="94"/>
      <c r="H20" s="98"/>
      <c r="I20" s="99">
        <v>2155.94</v>
      </c>
      <c r="J20" s="185">
        <f t="shared" si="0"/>
        <v>-1.25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3921.8</v>
      </c>
      <c r="C49" s="116">
        <v>7.4999999999999997E-3</v>
      </c>
      <c r="D49" s="117">
        <f t="shared" si="18"/>
        <v>29.413499999999999</v>
      </c>
      <c r="E49" s="172">
        <v>0</v>
      </c>
      <c r="F49" s="117">
        <f t="shared" si="15"/>
        <v>0</v>
      </c>
      <c r="G49" s="117">
        <f t="shared" si="16"/>
        <v>3892.3865000000001</v>
      </c>
      <c r="H49" s="173">
        <f t="shared" si="19"/>
        <v>44771</v>
      </c>
      <c r="I49" s="176">
        <f>115.22+3806.58</f>
        <v>3921.7999999999997</v>
      </c>
      <c r="J49" s="81">
        <f t="shared" si="0"/>
        <v>0</v>
      </c>
      <c r="K49" s="80"/>
      <c r="L49" s="186">
        <f t="shared" si="17"/>
        <v>3892.3865000000001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422.77</v>
      </c>
      <c r="C50" s="116">
        <v>7.4999999999999997E-3</v>
      </c>
      <c r="D50" s="117">
        <f t="shared" si="18"/>
        <v>3.1707749999999999</v>
      </c>
      <c r="E50" s="172">
        <v>0</v>
      </c>
      <c r="F50" s="117">
        <f t="shared" si="15"/>
        <v>0</v>
      </c>
      <c r="G50" s="117">
        <f t="shared" si="16"/>
        <v>419.59922499999999</v>
      </c>
      <c r="H50" s="173">
        <f t="shared" si="19"/>
        <v>44771</v>
      </c>
      <c r="I50" s="175">
        <v>968.26</v>
      </c>
      <c r="J50" s="81">
        <f t="shared" si="0"/>
        <v>-545.49</v>
      </c>
      <c r="K50" s="80"/>
      <c r="L50" s="186">
        <f>K50-G50</f>
        <v>-419.59922499999999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545.49</v>
      </c>
      <c r="C51" s="116">
        <v>1.4999999999999999E-2</v>
      </c>
      <c r="D51" s="117">
        <f>+B51*C51</f>
        <v>8.1823499999999996</v>
      </c>
      <c r="E51" s="172">
        <v>0</v>
      </c>
      <c r="F51" s="117">
        <f>D51*E51</f>
        <v>0</v>
      </c>
      <c r="G51" s="117">
        <f t="shared" si="16"/>
        <v>537.30764999999997</v>
      </c>
      <c r="H51" s="173">
        <f t="shared" si="19"/>
        <v>44771</v>
      </c>
      <c r="I51" s="175"/>
      <c r="J51" s="81">
        <f t="shared" si="0"/>
        <v>545.49</v>
      </c>
      <c r="K51" s="80"/>
      <c r="L51" s="186">
        <f t="shared" si="17"/>
        <v>537.30764999999997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106.54</v>
      </c>
      <c r="C56" s="116">
        <v>2.5000000000000001E-2</v>
      </c>
      <c r="D56" s="117">
        <f t="shared" si="20"/>
        <v>2.6635000000000004</v>
      </c>
      <c r="E56" s="172">
        <v>0.05</v>
      </c>
      <c r="F56" s="117">
        <f t="shared" si="21"/>
        <v>4.5922413793103454</v>
      </c>
      <c r="G56" s="117">
        <f t="shared" si="22"/>
        <v>99.284258620689656</v>
      </c>
      <c r="H56" s="173">
        <f t="shared" si="19"/>
        <v>44771</v>
      </c>
      <c r="I56" s="176">
        <v>106.54</v>
      </c>
      <c r="J56" s="81">
        <f t="shared" si="0"/>
        <v>0</v>
      </c>
      <c r="K56" s="80"/>
      <c r="L56" s="186">
        <f t="shared" si="17"/>
        <v>99.284258620689656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43.430124999999997</v>
      </c>
      <c r="E61" s="177"/>
      <c r="F61" s="57">
        <f>SUM(F46:F58)</f>
        <v>4.5922413793103454</v>
      </c>
      <c r="G61" s="57">
        <f>SUM(G46:G58)</f>
        <v>4948.57763362069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4948.57763362069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9897.15526724138</v>
      </c>
      <c r="H64" s="184"/>
      <c r="I64" s="175"/>
      <c r="J64" s="81">
        <f t="shared" si="0"/>
        <v>0</v>
      </c>
      <c r="K64" s="80"/>
      <c r="L64" s="186">
        <f t="shared" si="17"/>
        <v>9897.15526724138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7701.29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7695.65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7640.94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54.710000000000036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/>
      <c r="Q70" s="262"/>
      <c r="R70" s="263">
        <f>84.81+30.41</f>
        <v>115.22</v>
      </c>
      <c r="S70" s="228"/>
      <c r="T70" s="228">
        <v>106.54</v>
      </c>
      <c r="U70" s="189"/>
      <c r="V70" s="189">
        <f t="shared" ref="V70:V74" si="34">R70*V$10</f>
        <v>0.86414999999999997</v>
      </c>
      <c r="W70" s="189">
        <f t="shared" ref="W70:W74" si="35">+S70*V$10</f>
        <v>0</v>
      </c>
      <c r="X70" s="189">
        <f t="shared" ref="X70:X74" si="36">+T70*X$10</f>
        <v>2.6635000000000004</v>
      </c>
      <c r="Y70" s="189">
        <f t="shared" ref="Y70:Z74" si="37">R70-V70</f>
        <v>114.35585</v>
      </c>
      <c r="Z70" s="189">
        <f t="shared" si="37"/>
        <v>0</v>
      </c>
      <c r="AA70" s="189">
        <f t="shared" ref="AA70:AA74" si="38">T70-U70-X70</f>
        <v>103.87650000000001</v>
      </c>
      <c r="AB70" s="87"/>
    </row>
    <row r="71" spans="1:30" ht="28.5" customHeight="1" thickBot="1" x14ac:dyDescent="0.3">
      <c r="A71" s="25" t="s">
        <v>57</v>
      </c>
      <c r="B71" s="70">
        <f>B65-B68</f>
        <v>5.6400000000003274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185</v>
      </c>
      <c r="P71" s="228"/>
      <c r="Q71" s="228">
        <v>743</v>
      </c>
      <c r="R71" s="238">
        <f>376.83+1313.84</f>
        <v>1690.6699999999998</v>
      </c>
      <c r="S71" s="228"/>
      <c r="T71" s="228"/>
      <c r="U71" s="189"/>
      <c r="V71" s="189">
        <f t="shared" si="34"/>
        <v>12.680024999999999</v>
      </c>
      <c r="W71" s="189">
        <f t="shared" si="35"/>
        <v>0</v>
      </c>
      <c r="X71" s="189">
        <f t="shared" si="36"/>
        <v>0</v>
      </c>
      <c r="Y71" s="189">
        <f t="shared" si="37"/>
        <v>1677.989975</v>
      </c>
      <c r="Z71" s="189">
        <f t="shared" si="37"/>
        <v>0</v>
      </c>
      <c r="AA71" s="189">
        <f t="shared" si="38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/>
      <c r="Q72" s="228">
        <v>752</v>
      </c>
      <c r="R72" s="255">
        <f>1052.58+316.38</f>
        <v>1368.96</v>
      </c>
      <c r="S72" s="228"/>
      <c r="T72" s="255"/>
      <c r="U72" s="189"/>
      <c r="V72" s="189">
        <f t="shared" si="34"/>
        <v>10.267200000000001</v>
      </c>
      <c r="W72" s="189">
        <f t="shared" si="35"/>
        <v>0</v>
      </c>
      <c r="X72" s="189">
        <f t="shared" si="36"/>
        <v>0</v>
      </c>
      <c r="Y72" s="189">
        <f t="shared" si="37"/>
        <v>1358.6928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>
        <v>751</v>
      </c>
      <c r="R73" s="255">
        <v>746.95</v>
      </c>
      <c r="S73" s="228"/>
      <c r="T73" s="222"/>
      <c r="U73" s="189"/>
      <c r="V73" s="189">
        <f t="shared" si="34"/>
        <v>5.602125</v>
      </c>
      <c r="W73" s="189">
        <f t="shared" si="35"/>
        <v>0</v>
      </c>
      <c r="X73" s="189">
        <f t="shared" si="36"/>
        <v>0</v>
      </c>
      <c r="Y73" s="189">
        <f t="shared" si="37"/>
        <v>741.34787500000004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39">+H69+H70+H71+H72+H73</f>
        <v>0</v>
      </c>
      <c r="N74" s="87">
        <v>5</v>
      </c>
      <c r="O74" s="122" t="s">
        <v>185</v>
      </c>
      <c r="P74" s="228"/>
      <c r="Q74" s="228"/>
      <c r="R74" s="255"/>
      <c r="S74" s="228"/>
      <c r="T74" s="222"/>
      <c r="U74" s="189"/>
      <c r="V74" s="189">
        <f t="shared" si="34"/>
        <v>0</v>
      </c>
      <c r="W74" s="189">
        <f t="shared" si="35"/>
        <v>0</v>
      </c>
      <c r="X74" s="189">
        <f t="shared" si="36"/>
        <v>0</v>
      </c>
      <c r="Y74" s="189">
        <f t="shared" si="37"/>
        <v>0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3921.8</v>
      </c>
      <c r="S75" s="192"/>
      <c r="T75" s="192">
        <f>SUM(T70:T74)</f>
        <v>106.54</v>
      </c>
      <c r="U75" s="192">
        <f>SUM(U70:U74)</f>
        <v>0</v>
      </c>
      <c r="V75" s="192">
        <f t="shared" ref="V75:AA75" si="40">SUM(V70:V74)</f>
        <v>29.413499999999999</v>
      </c>
      <c r="W75" s="192">
        <f t="shared" si="40"/>
        <v>0</v>
      </c>
      <c r="X75" s="192">
        <f t="shared" si="40"/>
        <v>2.6635000000000004</v>
      </c>
      <c r="Y75" s="192">
        <f t="shared" si="40"/>
        <v>3892.3865000000001</v>
      </c>
      <c r="Z75" s="192">
        <f t="shared" si="40"/>
        <v>0</v>
      </c>
      <c r="AA75" s="193">
        <f t="shared" si="40"/>
        <v>103.87650000000001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>
        <f>132.54+35.72+71.07</f>
        <v>239.32999999999998</v>
      </c>
      <c r="R78" s="82">
        <v>7.4999999999999997E-3</v>
      </c>
      <c r="S78" s="194">
        <f>+(P78+Q78)*R78</f>
        <v>1.7949749999999998</v>
      </c>
      <c r="T78" s="246">
        <f>+(P78+Q78)-S78</f>
        <v>237.53502499999999</v>
      </c>
      <c r="U78" s="112">
        <f>62.04+418.46</f>
        <v>480.5</v>
      </c>
      <c r="V78" s="112"/>
      <c r="W78" s="113">
        <v>1.4999999999999999E-2</v>
      </c>
      <c r="X78" s="196">
        <f>+(U78+V78)*W78</f>
        <v>7.2074999999999996</v>
      </c>
      <c r="Y78" s="246">
        <f>+(U78+V78)-X78</f>
        <v>473.29250000000002</v>
      </c>
      <c r="Z78" s="87"/>
      <c r="AA78" s="189">
        <f t="shared" ref="AA78:AA97" si="41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3.12+64.87+115.45</f>
        <v>183.44</v>
      </c>
      <c r="R79" s="82">
        <v>7.4999999999999997E-3</v>
      </c>
      <c r="S79" s="194">
        <f t="shared" ref="S79:S97" si="42">+(P79+Q79)*R79</f>
        <v>1.3757999999999999</v>
      </c>
      <c r="T79" s="246">
        <f t="shared" ref="T79:T97" si="43">+(P79+Q79)-S79</f>
        <v>182.0642</v>
      </c>
      <c r="U79" s="211">
        <f>32.37+32.62</f>
        <v>64.989999999999995</v>
      </c>
      <c r="V79" s="112"/>
      <c r="W79" s="113">
        <v>1.4999999999999999E-2</v>
      </c>
      <c r="X79" s="196">
        <f t="shared" ref="X79:X97" si="44">+(U79+V79)*W79</f>
        <v>0.97484999999999988</v>
      </c>
      <c r="Y79" s="246">
        <f t="shared" ref="Y79:Y97" si="45">+(U79+V79)-X79</f>
        <v>64.015149999999991</v>
      </c>
      <c r="Z79" s="87"/>
      <c r="AA79" s="189">
        <f t="shared" si="41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/>
      <c r="R80" s="82">
        <v>7.4999999999999997E-3</v>
      </c>
      <c r="S80" s="194">
        <f t="shared" si="42"/>
        <v>0</v>
      </c>
      <c r="T80" s="219">
        <f t="shared" si="43"/>
        <v>0</v>
      </c>
      <c r="U80" s="211"/>
      <c r="V80" s="112"/>
      <c r="W80" s="113">
        <v>1.4999999999999999E-2</v>
      </c>
      <c r="X80" s="196">
        <f t="shared" si="44"/>
        <v>0</v>
      </c>
      <c r="Y80" s="213">
        <f t="shared" si="45"/>
        <v>0</v>
      </c>
      <c r="Z80" s="87"/>
      <c r="AA80" s="189">
        <f t="shared" si="41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2"/>
        <v>0</v>
      </c>
      <c r="T81" s="219">
        <f t="shared" si="43"/>
        <v>0</v>
      </c>
      <c r="U81" s="211"/>
      <c r="V81" s="112"/>
      <c r="W81" s="113">
        <v>1.4999999999999999E-2</v>
      </c>
      <c r="X81" s="196">
        <f t="shared" si="44"/>
        <v>0</v>
      </c>
      <c r="Y81" s="213">
        <f t="shared" si="45"/>
        <v>0</v>
      </c>
      <c r="Z81" s="87"/>
      <c r="AA81" s="189">
        <f t="shared" si="41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2"/>
        <v>0</v>
      </c>
      <c r="T82" s="219">
        <f t="shared" si="43"/>
        <v>0</v>
      </c>
      <c r="U82" s="112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1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2"/>
        <v>0</v>
      </c>
      <c r="T83" s="219">
        <f t="shared" si="43"/>
        <v>0</v>
      </c>
      <c r="U83" s="112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1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2"/>
        <v>0</v>
      </c>
      <c r="T84" s="220">
        <f t="shared" si="43"/>
        <v>0</v>
      </c>
      <c r="U84" s="112"/>
      <c r="V84" s="112"/>
      <c r="W84" s="113">
        <v>1.4999999999999999E-2</v>
      </c>
      <c r="X84" s="196">
        <f t="shared" si="44"/>
        <v>0</v>
      </c>
      <c r="Y84" s="196">
        <f t="shared" si="45"/>
        <v>0</v>
      </c>
      <c r="Z84" s="87"/>
      <c r="AA84" s="189">
        <f t="shared" si="41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2"/>
        <v>0</v>
      </c>
      <c r="T85" s="220">
        <f t="shared" si="43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1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2"/>
        <v>0</v>
      </c>
      <c r="T86" s="194">
        <f t="shared" si="43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1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2"/>
        <v>0</v>
      </c>
      <c r="T87" s="194">
        <f t="shared" si="43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1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2"/>
        <v>0</v>
      </c>
      <c r="T88" s="194">
        <f t="shared" si="43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1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2"/>
        <v>0</v>
      </c>
      <c r="T89" s="194">
        <f t="shared" si="43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1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2"/>
        <v>0</v>
      </c>
      <c r="T90" s="194">
        <f t="shared" si="43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1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2"/>
        <v>0</v>
      </c>
      <c r="T91" s="194">
        <f t="shared" si="43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1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2"/>
        <v>0</v>
      </c>
      <c r="T92" s="194">
        <f t="shared" si="43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1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2"/>
        <v>0</v>
      </c>
      <c r="T93" s="194">
        <f t="shared" si="43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1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2"/>
        <v>0</v>
      </c>
      <c r="T94" s="194">
        <f t="shared" si="43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1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2"/>
        <v>0</v>
      </c>
      <c r="T95" s="194">
        <f t="shared" si="43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1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2"/>
        <v>0</v>
      </c>
      <c r="T96" s="194">
        <f t="shared" si="43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1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2"/>
        <v>0</v>
      </c>
      <c r="T97" s="194">
        <f t="shared" si="43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1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422.77</v>
      </c>
      <c r="R98" s="111"/>
      <c r="S98" s="195">
        <f>SUM(S78:S97)</f>
        <v>3.1707749999999999</v>
      </c>
      <c r="T98" s="195">
        <f>SUM(T78:T97)</f>
        <v>419.59922499999999</v>
      </c>
      <c r="U98" s="114">
        <f>SUM(U78:U97)</f>
        <v>545.49</v>
      </c>
      <c r="V98" s="114">
        <f>SUM(V78:V97)</f>
        <v>0</v>
      </c>
      <c r="W98" s="112"/>
      <c r="X98" s="197">
        <f>SUM(X78:X97)</f>
        <v>8.1823499999999996</v>
      </c>
      <c r="Y98" s="197">
        <f>SUM(Y78:Y97)</f>
        <v>537.30764999999997</v>
      </c>
      <c r="Z98" s="63">
        <f>SUM(Z78:Z97)</f>
        <v>0</v>
      </c>
      <c r="AA98" s="198">
        <f t="shared" ref="AA98:AB98" si="48">SUM(AA78:AA97)</f>
        <v>0</v>
      </c>
      <c r="AB98" s="198">
        <f t="shared" si="48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719.82999999999993</v>
      </c>
    </row>
    <row r="102" spans="14:30" x14ac:dyDescent="0.25">
      <c r="N102" s="85"/>
      <c r="P102" s="215">
        <f>P79+Q79+U79</f>
        <v>248.43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84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38" zoomScale="90" zoomScaleNormal="90" workbookViewId="0">
      <selection activeCell="H52" sqref="H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44771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906</v>
      </c>
      <c r="C12" s="15"/>
      <c r="D12" s="56"/>
      <c r="E12" s="16"/>
      <c r="F12" s="56"/>
      <c r="G12" s="56"/>
      <c r="H12" s="17"/>
      <c r="I12" s="83">
        <v>906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99</v>
      </c>
      <c r="Q12" s="153"/>
      <c r="R12" s="154">
        <v>1419.61</v>
      </c>
      <c r="S12" s="155"/>
      <c r="T12" s="155">
        <v>305.95</v>
      </c>
      <c r="U12" s="189">
        <f>((T12/U$10)*U$9)</f>
        <v>13.1875</v>
      </c>
      <c r="V12" s="189">
        <f>R12*V$10</f>
        <v>10.647074999999999</v>
      </c>
      <c r="W12" s="189">
        <f>+S12*V$10</f>
        <v>0</v>
      </c>
      <c r="X12" s="189">
        <f>+T12*X$10</f>
        <v>7.6487499999999997</v>
      </c>
      <c r="Y12" s="189">
        <f>R12-V12</f>
        <v>1408.9629249999998</v>
      </c>
      <c r="Z12" s="189">
        <f>S12-W12</f>
        <v>0</v>
      </c>
      <c r="AA12" s="189">
        <f>T12-U12-X12</f>
        <v>285.11374999999998</v>
      </c>
      <c r="AB12" s="156"/>
    </row>
    <row r="13" spans="1:28" ht="15.75" x14ac:dyDescent="0.25">
      <c r="A13" s="86" t="s">
        <v>76</v>
      </c>
      <c r="B13" s="89">
        <f>107+10+42</f>
        <v>159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159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/>
      <c r="Q13" s="153"/>
      <c r="R13" s="154">
        <v>17.34</v>
      </c>
      <c r="S13" s="155"/>
      <c r="T13" s="157">
        <v>24.39</v>
      </c>
      <c r="U13" s="189">
        <f t="shared" ref="U13:U41" si="2">((T13/U$10)*U$9)</f>
        <v>1.051293103448276</v>
      </c>
      <c r="V13" s="189">
        <f t="shared" ref="V13:V41" si="3">R13*V$10</f>
        <v>0.13005</v>
      </c>
      <c r="W13" s="189">
        <f t="shared" ref="W13:W41" si="4">+S13*V$10</f>
        <v>0</v>
      </c>
      <c r="X13" s="189">
        <f t="shared" ref="X13:X41" si="5">+T13*X$10</f>
        <v>0.60975000000000001</v>
      </c>
      <c r="Y13" s="189">
        <f t="shared" ref="Y13:Z41" si="6">R13-V13</f>
        <v>17.209949999999999</v>
      </c>
      <c r="Z13" s="189">
        <f t="shared" si="6"/>
        <v>0</v>
      </c>
      <c r="AA13" s="189">
        <f t="shared" ref="AA13:AA41" si="7">T13-U13-X13</f>
        <v>22.728956896551722</v>
      </c>
      <c r="AB13" s="156"/>
    </row>
    <row r="14" spans="1:28" ht="15.75" x14ac:dyDescent="0.25">
      <c r="A14" s="86" t="s">
        <v>83</v>
      </c>
      <c r="B14" s="57">
        <f>B13*B8</f>
        <v>920.61</v>
      </c>
      <c r="C14" s="15"/>
      <c r="D14" s="56"/>
      <c r="E14" s="16"/>
      <c r="F14" s="56"/>
      <c r="G14" s="56"/>
      <c r="H14" s="17"/>
      <c r="I14" s="83"/>
      <c r="J14" s="81">
        <f t="shared" si="0"/>
        <v>920.61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>
        <v>120.2</v>
      </c>
      <c r="U14" s="189">
        <f t="shared" si="2"/>
        <v>5.1810344827586219</v>
      </c>
      <c r="V14" s="189">
        <f t="shared" si="3"/>
        <v>0</v>
      </c>
      <c r="W14" s="189">
        <f t="shared" si="4"/>
        <v>0</v>
      </c>
      <c r="X14" s="189">
        <f t="shared" si="5"/>
        <v>3.0050000000000003</v>
      </c>
      <c r="Y14" s="189">
        <f t="shared" si="6"/>
        <v>0</v>
      </c>
      <c r="Z14" s="189">
        <f t="shared" si="6"/>
        <v>0</v>
      </c>
      <c r="AA14" s="189">
        <f t="shared" si="7"/>
        <v>112.01396551724139</v>
      </c>
      <c r="AB14" s="156"/>
    </row>
    <row r="15" spans="1:28" ht="15.75" x14ac:dyDescent="0.25">
      <c r="A15" s="86" t="s">
        <v>79</v>
      </c>
      <c r="B15" s="56">
        <f>15+40+36+46+20</f>
        <v>157</v>
      </c>
      <c r="C15" s="15"/>
      <c r="D15" s="56"/>
      <c r="E15" s="16"/>
      <c r="F15" s="56"/>
      <c r="G15" s="56"/>
      <c r="H15" s="17"/>
      <c r="I15" s="83"/>
      <c r="J15" s="81">
        <f t="shared" si="0"/>
        <v>157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907.46</v>
      </c>
      <c r="C16" s="15"/>
      <c r="D16" s="56"/>
      <c r="E16" s="16"/>
      <c r="F16" s="56"/>
      <c r="G16" s="56"/>
      <c r="H16" s="17"/>
      <c r="I16" s="83"/>
      <c r="J16" s="81">
        <f t="shared" si="0"/>
        <v>907.46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316</v>
      </c>
      <c r="C19" s="95"/>
      <c r="D19" s="94"/>
      <c r="E19" s="96"/>
      <c r="F19" s="94"/>
      <c r="G19" s="94"/>
      <c r="H19" s="98"/>
      <c r="I19" s="99"/>
      <c r="J19" s="185">
        <f>B19-I19</f>
        <v>316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1828.0700000000002</v>
      </c>
      <c r="C20" s="95"/>
      <c r="D20" s="94"/>
      <c r="E20" s="96"/>
      <c r="F20" s="94"/>
      <c r="G20" s="94"/>
      <c r="H20" s="98"/>
      <c r="I20" s="99">
        <v>1829.64</v>
      </c>
      <c r="J20" s="185">
        <f t="shared" si="0"/>
        <v>-1.5699999999999363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>
        <v>20</v>
      </c>
      <c r="C31" s="100"/>
      <c r="D31" s="66"/>
      <c r="E31" s="67"/>
      <c r="F31" s="66"/>
      <c r="G31" s="66"/>
      <c r="H31" s="102"/>
      <c r="I31" s="79"/>
      <c r="J31" s="81">
        <f t="shared" si="0"/>
        <v>20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115.60000000000001</v>
      </c>
      <c r="C32" s="100"/>
      <c r="D32" s="66"/>
      <c r="E32" s="67"/>
      <c r="F32" s="66"/>
      <c r="G32" s="66"/>
      <c r="H32" s="102"/>
      <c r="I32" s="79"/>
      <c r="J32" s="81">
        <f t="shared" si="0"/>
        <v>115.60000000000001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20</v>
      </c>
      <c r="C35" s="95"/>
      <c r="D35" s="94"/>
      <c r="E35" s="96"/>
      <c r="F35" s="94"/>
      <c r="G35" s="94"/>
      <c r="H35" s="98"/>
      <c r="I35" s="99">
        <v>20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115.60000000000001</v>
      </c>
      <c r="C36" s="95"/>
      <c r="D36" s="94"/>
      <c r="E36" s="96"/>
      <c r="F36" s="94"/>
      <c r="G36" s="94"/>
      <c r="H36" s="98"/>
      <c r="I36" s="99"/>
      <c r="J36" s="185">
        <f t="shared" si="0"/>
        <v>115.60000000000001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1436.9499999999998</v>
      </c>
      <c r="S42" s="190">
        <f t="shared" si="8"/>
        <v>0</v>
      </c>
      <c r="T42" s="190">
        <f t="shared" si="8"/>
        <v>450.53999999999996</v>
      </c>
      <c r="U42" s="190">
        <f t="shared" si="8"/>
        <v>19.4198275862069</v>
      </c>
      <c r="V42" s="190">
        <f t="shared" si="8"/>
        <v>10.777125</v>
      </c>
      <c r="W42" s="190">
        <f t="shared" si="8"/>
        <v>0</v>
      </c>
      <c r="X42" s="190">
        <f t="shared" si="8"/>
        <v>11.263500000000001</v>
      </c>
      <c r="Y42" s="190">
        <f t="shared" si="8"/>
        <v>1426.1728749999997</v>
      </c>
      <c r="Z42" s="190">
        <f t="shared" si="8"/>
        <v>0</v>
      </c>
      <c r="AA42" s="190">
        <f t="shared" si="8"/>
        <v>419.85667241379309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1436.9499999999998</v>
      </c>
      <c r="C46" s="116">
        <v>7.4999999999999997E-3</v>
      </c>
      <c r="D46" s="117">
        <f>B46*C46</f>
        <v>10.777124999999998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1426.1728749999997</v>
      </c>
      <c r="H46" s="173">
        <f>B$6+1</f>
        <v>44772</v>
      </c>
      <c r="I46" s="174">
        <v>1436.95</v>
      </c>
      <c r="J46" s="81">
        <f t="shared" si="0"/>
        <v>0</v>
      </c>
      <c r="K46" s="80"/>
      <c r="L46" s="186">
        <f t="shared" ref="L46:L64" si="17">+G46-K46</f>
        <v>1426.1728749999997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5412.12</v>
      </c>
      <c r="C49" s="116">
        <v>7.4999999999999997E-3</v>
      </c>
      <c r="D49" s="117">
        <f t="shared" si="18"/>
        <v>40.590899999999998</v>
      </c>
      <c r="E49" s="172">
        <v>0</v>
      </c>
      <c r="F49" s="117">
        <f t="shared" si="15"/>
        <v>0</v>
      </c>
      <c r="G49" s="117">
        <f t="shared" si="16"/>
        <v>5371.5290999999997</v>
      </c>
      <c r="H49" s="173">
        <f t="shared" si="19"/>
        <v>44772</v>
      </c>
      <c r="I49" s="176">
        <v>5412.12</v>
      </c>
      <c r="J49" s="81">
        <f t="shared" si="0"/>
        <v>0</v>
      </c>
      <c r="K49" s="80"/>
      <c r="L49" s="186">
        <f t="shared" si="17"/>
        <v>5371.5290999999997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680.7</v>
      </c>
      <c r="C50" s="116">
        <v>7.4999999999999997E-3</v>
      </c>
      <c r="D50" s="117">
        <f t="shared" si="18"/>
        <v>5.1052499999999998</v>
      </c>
      <c r="E50" s="172">
        <v>0</v>
      </c>
      <c r="F50" s="117">
        <f t="shared" si="15"/>
        <v>0</v>
      </c>
      <c r="G50" s="117">
        <f t="shared" si="16"/>
        <v>675.59475000000009</v>
      </c>
      <c r="H50" s="173">
        <f t="shared" si="19"/>
        <v>44772</v>
      </c>
      <c r="I50" s="175">
        <v>871.01</v>
      </c>
      <c r="J50" s="81">
        <f t="shared" si="0"/>
        <v>-190.30999999999995</v>
      </c>
      <c r="K50" s="80"/>
      <c r="L50" s="186">
        <f t="shared" si="17"/>
        <v>675.59475000000009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190.31</v>
      </c>
      <c r="C51" s="116">
        <v>1.4999999999999999E-2</v>
      </c>
      <c r="D51" s="117">
        <f>+B51*C51</f>
        <v>2.8546499999999999</v>
      </c>
      <c r="E51" s="172">
        <v>0</v>
      </c>
      <c r="F51" s="117">
        <f>D51*E51</f>
        <v>0</v>
      </c>
      <c r="G51" s="117">
        <f t="shared" si="16"/>
        <v>187.45535000000001</v>
      </c>
      <c r="H51" s="173">
        <f t="shared" si="19"/>
        <v>44772</v>
      </c>
      <c r="I51" s="175"/>
      <c r="J51" s="81">
        <f t="shared" si="0"/>
        <v>190.31</v>
      </c>
      <c r="K51" s="80"/>
      <c r="L51" s="186">
        <f t="shared" si="17"/>
        <v>187.45535000000001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450.53999999999996</v>
      </c>
      <c r="C52" s="116">
        <v>2.5000000000000001E-2</v>
      </c>
      <c r="D52" s="117">
        <f>B52*C52</f>
        <v>11.263500000000001</v>
      </c>
      <c r="E52" s="172">
        <v>0.05</v>
      </c>
      <c r="F52" s="117">
        <f>(B52/E$10)*E52</f>
        <v>19.419827586206896</v>
      </c>
      <c r="G52" s="117">
        <f>B52-D52-F52</f>
        <v>419.85667241379304</v>
      </c>
      <c r="H52" s="188">
        <f t="shared" si="19"/>
        <v>44772</v>
      </c>
      <c r="I52" s="176">
        <v>450.54</v>
      </c>
      <c r="J52" s="81">
        <f t="shared" si="0"/>
        <v>0</v>
      </c>
      <c r="K52" s="80"/>
      <c r="L52" s="186">
        <f t="shared" si="17"/>
        <v>419.85667241379304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70.591424999999987</v>
      </c>
      <c r="E61" s="177"/>
      <c r="F61" s="57">
        <f>SUM(F46:F58)</f>
        <v>19.419827586206896</v>
      </c>
      <c r="G61" s="57">
        <f>SUM(G46:G58)</f>
        <v>8080.608747413793</v>
      </c>
      <c r="H61" s="173">
        <f t="shared" si="19"/>
        <v>44772</v>
      </c>
      <c r="I61" s="175"/>
      <c r="J61" s="81">
        <f t="shared" si="0"/>
        <v>0</v>
      </c>
      <c r="K61" s="80"/>
      <c r="L61" s="186">
        <f t="shared" si="17"/>
        <v>8080.608747413793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16161.217494827586</v>
      </c>
      <c r="H64" s="184"/>
      <c r="I64" s="175"/>
      <c r="J64" s="81">
        <f t="shared" si="0"/>
        <v>0</v>
      </c>
      <c r="K64" s="80"/>
      <c r="L64" s="186">
        <f t="shared" si="17"/>
        <v>16161.217494827586</v>
      </c>
      <c r="M64" s="130"/>
      <c r="N64" s="87">
        <v>1</v>
      </c>
      <c r="O64" s="122" t="s">
        <v>217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11020.29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11010.42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10959.44</v>
      </c>
      <c r="C69" s="59"/>
      <c r="F69" s="87" t="s">
        <v>129</v>
      </c>
      <c r="G69" s="22">
        <f>+G46</f>
        <v>1426.1728749999997</v>
      </c>
      <c r="H69" s="89">
        <f>+G52</f>
        <v>419.85667241379304</v>
      </c>
      <c r="I69" s="136"/>
      <c r="J69" s="136">
        <f>K52</f>
        <v>0</v>
      </c>
      <c r="N69" s="302" t="s">
        <v>178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50.979999999999563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176</v>
      </c>
      <c r="P70" s="228"/>
      <c r="Q70" s="228">
        <v>58</v>
      </c>
      <c r="R70" s="222">
        <v>387.79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2.9084250000000003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384.881575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9.8700000000008004</v>
      </c>
      <c r="C71" s="64"/>
      <c r="F71" s="87" t="s">
        <v>131</v>
      </c>
      <c r="G71" s="137"/>
      <c r="H71" s="87"/>
      <c r="I71" s="81">
        <f>+I69-G69-G70-G71-G72-G73</f>
        <v>-1426.1728749999997</v>
      </c>
      <c r="J71" s="81">
        <f>+J69-H69-H70-H71-H72-H73</f>
        <v>-419.85667241379304</v>
      </c>
      <c r="N71" s="87">
        <v>2</v>
      </c>
      <c r="O71" s="122" t="s">
        <v>176</v>
      </c>
      <c r="P71" s="228"/>
      <c r="Q71" s="228">
        <v>745</v>
      </c>
      <c r="R71" s="222">
        <v>862.53</v>
      </c>
      <c r="S71" s="228"/>
      <c r="T71" s="228"/>
      <c r="U71" s="189">
        <f t="shared" si="34"/>
        <v>0</v>
      </c>
      <c r="V71" s="189">
        <f t="shared" si="35"/>
        <v>6.4689749999999995</v>
      </c>
      <c r="W71" s="189">
        <f t="shared" si="36"/>
        <v>0</v>
      </c>
      <c r="X71" s="189">
        <f t="shared" si="37"/>
        <v>0</v>
      </c>
      <c r="Y71" s="189">
        <f t="shared" si="38"/>
        <v>856.06102499999997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/>
      <c r="Q72" s="228">
        <v>746</v>
      </c>
      <c r="R72" s="222">
        <v>1093.72</v>
      </c>
      <c r="S72" s="228"/>
      <c r="T72" s="228"/>
      <c r="U72" s="189">
        <f t="shared" si="34"/>
        <v>0</v>
      </c>
      <c r="V72" s="189">
        <f t="shared" si="35"/>
        <v>8.2028999999999996</v>
      </c>
      <c r="W72" s="189">
        <f t="shared" si="36"/>
        <v>0</v>
      </c>
      <c r="X72" s="189">
        <f t="shared" si="37"/>
        <v>0</v>
      </c>
      <c r="Y72" s="189">
        <f t="shared" si="38"/>
        <v>1085.5171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/>
      <c r="Q73" s="228">
        <v>753</v>
      </c>
      <c r="R73" s="222">
        <v>873.58</v>
      </c>
      <c r="S73" s="228"/>
      <c r="T73" s="228"/>
      <c r="U73" s="189">
        <f t="shared" si="34"/>
        <v>0</v>
      </c>
      <c r="V73" s="189">
        <f t="shared" si="35"/>
        <v>6.55185</v>
      </c>
      <c r="W73" s="189">
        <f t="shared" si="36"/>
        <v>0</v>
      </c>
      <c r="X73" s="189">
        <f t="shared" si="37"/>
        <v>0</v>
      </c>
      <c r="Y73" s="189">
        <f t="shared" si="38"/>
        <v>867.0281500000001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1426.1728749999997</v>
      </c>
      <c r="H74" s="89">
        <f t="shared" ref="H74" si="40">+H69+H70+H71+H72+H73</f>
        <v>419.85667241379304</v>
      </c>
      <c r="N74" s="87">
        <v>5</v>
      </c>
      <c r="O74" s="122" t="s">
        <v>176</v>
      </c>
      <c r="P74" s="228"/>
      <c r="Q74" s="228">
        <v>754</v>
      </c>
      <c r="R74" s="222">
        <v>2194.5</v>
      </c>
      <c r="S74" s="228"/>
      <c r="T74" s="228"/>
      <c r="U74" s="189">
        <f t="shared" si="34"/>
        <v>0</v>
      </c>
      <c r="V74" s="189">
        <f t="shared" si="35"/>
        <v>16.458749999999998</v>
      </c>
      <c r="W74" s="189">
        <f t="shared" si="36"/>
        <v>0</v>
      </c>
      <c r="X74" s="189">
        <f t="shared" si="37"/>
        <v>0</v>
      </c>
      <c r="Y74" s="189">
        <f t="shared" si="38"/>
        <v>2178.0412500000002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179</v>
      </c>
      <c r="O75" s="302"/>
      <c r="P75" s="303"/>
      <c r="Q75" s="303"/>
      <c r="R75" s="192">
        <f>SUM(R70:R74)</f>
        <v>5412.12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40.590900000000005</v>
      </c>
      <c r="W75" s="192">
        <f t="shared" si="41"/>
        <v>0</v>
      </c>
      <c r="X75" s="192">
        <f t="shared" si="41"/>
        <v>0</v>
      </c>
      <c r="Y75" s="192">
        <f t="shared" si="41"/>
        <v>5371.5290999999997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13.55+50.3+76.22</f>
        <v>140.07</v>
      </c>
      <c r="R79" s="82">
        <v>7.4999999999999997E-3</v>
      </c>
      <c r="S79" s="194">
        <f t="shared" ref="S79:S97" si="43">+(P79+Q79)*R79</f>
        <v>1.0505249999999999</v>
      </c>
      <c r="T79" s="246">
        <f t="shared" ref="T79:T97" si="44">+(P79+Q79)-S79</f>
        <v>139.019475</v>
      </c>
      <c r="U79" s="211">
        <f>44.8+5.78</f>
        <v>50.58</v>
      </c>
      <c r="V79" s="112"/>
      <c r="W79" s="113">
        <v>1.4999999999999999E-2</v>
      </c>
      <c r="X79" s="196">
        <f t="shared" ref="X79:X97" si="45">+(U79+V79)*W79</f>
        <v>0.75869999999999993</v>
      </c>
      <c r="Y79" s="246">
        <f t="shared" ref="Y79:Y97" si="46">+(U79+V79)-X79</f>
        <v>49.821300000000001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f>373.61+154.65+12.37</f>
        <v>540.63</v>
      </c>
      <c r="R80" s="82">
        <v>7.4999999999999997E-3</v>
      </c>
      <c r="S80" s="194">
        <f t="shared" si="43"/>
        <v>4.0547249999999995</v>
      </c>
      <c r="T80" s="246">
        <f t="shared" si="44"/>
        <v>536.57527500000003</v>
      </c>
      <c r="U80" s="211">
        <f>111.92+27.81</f>
        <v>139.72999999999999</v>
      </c>
      <c r="V80" s="112"/>
      <c r="W80" s="113">
        <v>1.4999999999999999E-2</v>
      </c>
      <c r="X80" s="196">
        <f t="shared" si="45"/>
        <v>2.0959499999999998</v>
      </c>
      <c r="Y80" s="246">
        <f t="shared" si="46"/>
        <v>137.63405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680.7</v>
      </c>
      <c r="R98" s="111"/>
      <c r="S98" s="195">
        <f>SUM(S78:S97)</f>
        <v>5.1052499999999998</v>
      </c>
      <c r="T98" s="195">
        <f>SUM(T78:T97)</f>
        <v>675.59474999999998</v>
      </c>
      <c r="U98" s="114">
        <f>SUM(U78:U97)</f>
        <v>190.31</v>
      </c>
      <c r="V98" s="114">
        <f>SUM(V78:V97)</f>
        <v>0</v>
      </c>
      <c r="W98" s="112"/>
      <c r="X98" s="197">
        <f>SUM(X78:X97)</f>
        <v>2.8546499999999995</v>
      </c>
      <c r="Y98" s="197">
        <f>SUM(Y78:Y97)</f>
        <v>187.45535000000001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6">
        <f>P78+Q78+U78</f>
        <v>0</v>
      </c>
      <c r="R101" s="84"/>
    </row>
    <row r="102" spans="14:30" x14ac:dyDescent="0.25">
      <c r="N102" s="85"/>
      <c r="Q102" s="236">
        <f>P79+Q79+U79</f>
        <v>190.64999999999998</v>
      </c>
      <c r="R102" s="84"/>
    </row>
    <row r="103" spans="14:30" x14ac:dyDescent="0.25">
      <c r="N103" s="85"/>
      <c r="Q103" s="215">
        <f>P80+U80+Q80</f>
        <v>680.36</v>
      </c>
      <c r="R103" s="84"/>
    </row>
    <row r="104" spans="14:30" x14ac:dyDescent="0.25">
      <c r="N104" s="85"/>
      <c r="Q104" s="236">
        <f>P81+Q81+U81</f>
        <v>0</v>
      </c>
      <c r="R104" s="84"/>
    </row>
    <row r="105" spans="14:30" x14ac:dyDescent="0.25">
      <c r="N105" s="85"/>
      <c r="Q105" s="236">
        <f>P82+U82+Q82</f>
        <v>0</v>
      </c>
      <c r="R105" s="84"/>
    </row>
    <row r="106" spans="14:30" x14ac:dyDescent="0.25">
      <c r="N106" s="85"/>
      <c r="Q106" s="236">
        <f>P83+Q83+U83</f>
        <v>0</v>
      </c>
      <c r="R106" s="84"/>
    </row>
    <row r="107" spans="14:30" x14ac:dyDescent="0.25">
      <c r="N107" s="85"/>
      <c r="Q107" s="85">
        <f>P84+Q84+U84</f>
        <v>0</v>
      </c>
    </row>
    <row r="108" spans="14:30" x14ac:dyDescent="0.25">
      <c r="N108" s="85"/>
      <c r="Q108" s="85">
        <f>P85+Q85+U85</f>
        <v>0</v>
      </c>
    </row>
    <row r="109" spans="14:30" x14ac:dyDescent="0.25">
      <c r="N109" s="85"/>
      <c r="Q109" s="85">
        <f>P86+Q86+U86</f>
        <v>0</v>
      </c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I51" sqref="I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44772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214.5+100.5+157+110.5+147.5</f>
        <v>730</v>
      </c>
      <c r="C12" s="15"/>
      <c r="D12" s="56"/>
      <c r="E12" s="16"/>
      <c r="F12" s="56"/>
      <c r="G12" s="56"/>
      <c r="H12" s="17"/>
      <c r="I12" s="83"/>
      <c r="J12" s="81">
        <f>B12-I12</f>
        <v>730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/>
      <c r="Q12" s="153">
        <v>230</v>
      </c>
      <c r="R12" s="154">
        <v>723.37</v>
      </c>
      <c r="S12" s="155"/>
      <c r="T12" s="155"/>
      <c r="U12" s="189">
        <f>((T12/U$10)*U$9)</f>
        <v>0</v>
      </c>
      <c r="V12" s="189">
        <f>R12*V$10</f>
        <v>5.4252750000000001</v>
      </c>
      <c r="W12" s="189">
        <f>+S12*V$10</f>
        <v>0</v>
      </c>
      <c r="X12" s="189">
        <f>+T12*X$10</f>
        <v>0</v>
      </c>
      <c r="Y12" s="189">
        <f>R12-V12</f>
        <v>717.94472499999995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139+155+45+14+134+153</f>
        <v>640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640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/>
      <c r="Q13" s="153"/>
      <c r="R13" s="154">
        <v>6.6</v>
      </c>
      <c r="S13" s="155"/>
      <c r="T13" s="157">
        <v>138.15</v>
      </c>
      <c r="U13" s="189">
        <f t="shared" ref="U13:U41" si="2">((T13/U$10)*U$9)</f>
        <v>5.9547413793103452</v>
      </c>
      <c r="V13" s="189">
        <f t="shared" ref="V13:V41" si="3">R13*V$10</f>
        <v>4.9499999999999995E-2</v>
      </c>
      <c r="W13" s="189">
        <f t="shared" ref="W13:W41" si="4">+S13*V$10</f>
        <v>0</v>
      </c>
      <c r="X13" s="189">
        <f t="shared" ref="X13:X41" si="5">+T13*X$10</f>
        <v>3.4537500000000003</v>
      </c>
      <c r="Y13" s="189">
        <f t="shared" ref="Y13:Z41" si="6">R13-V13</f>
        <v>6.5504999999999995</v>
      </c>
      <c r="Z13" s="189">
        <f t="shared" si="6"/>
        <v>0</v>
      </c>
      <c r="AA13" s="189">
        <f t="shared" ref="AA13:AA41" si="7">T13-U13-X13</f>
        <v>128.74150862068964</v>
      </c>
      <c r="AB13" s="156"/>
    </row>
    <row r="14" spans="1:28" ht="15.75" x14ac:dyDescent="0.25">
      <c r="A14" s="86" t="s">
        <v>83</v>
      </c>
      <c r="B14" s="57">
        <f>B13*B8</f>
        <v>3705.6</v>
      </c>
      <c r="C14" s="15"/>
      <c r="D14" s="56"/>
      <c r="E14" s="16"/>
      <c r="F14" s="56"/>
      <c r="G14" s="56"/>
      <c r="H14" s="17"/>
      <c r="I14" s="83"/>
      <c r="J14" s="81">
        <f t="shared" si="0"/>
        <v>3705.6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640</v>
      </c>
      <c r="C19" s="95"/>
      <c r="D19" s="94"/>
      <c r="E19" s="96"/>
      <c r="F19" s="94"/>
      <c r="G19" s="94"/>
      <c r="H19" s="98"/>
      <c r="I19" s="99"/>
      <c r="J19" s="185">
        <f>B19-I19</f>
        <v>640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3705.6</v>
      </c>
      <c r="C20" s="95"/>
      <c r="D20" s="94"/>
      <c r="E20" s="96"/>
      <c r="F20" s="94"/>
      <c r="G20" s="94"/>
      <c r="H20" s="98"/>
      <c r="I20" s="99"/>
      <c r="J20" s="185">
        <f t="shared" si="0"/>
        <v>3705.6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27.72</v>
      </c>
      <c r="C37" s="100"/>
      <c r="D37" s="66"/>
      <c r="E37" s="67"/>
      <c r="F37" s="66"/>
      <c r="G37" s="66"/>
      <c r="H37" s="102"/>
      <c r="I37" s="79"/>
      <c r="J37" s="81">
        <f t="shared" si="0"/>
        <v>27.72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160.49879999999999</v>
      </c>
      <c r="C38" s="100"/>
      <c r="D38" s="66"/>
      <c r="E38" s="67"/>
      <c r="F38" s="66"/>
      <c r="G38" s="66"/>
      <c r="H38" s="102"/>
      <c r="I38" s="79"/>
      <c r="J38" s="81">
        <f t="shared" si="0"/>
        <v>160.49879999999999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729.97</v>
      </c>
      <c r="S42" s="190">
        <f t="shared" si="8"/>
        <v>0</v>
      </c>
      <c r="T42" s="190">
        <f t="shared" si="8"/>
        <v>138.15</v>
      </c>
      <c r="U42" s="190">
        <f t="shared" si="8"/>
        <v>5.9547413793103452</v>
      </c>
      <c r="V42" s="190">
        <f t="shared" si="8"/>
        <v>5.4747750000000002</v>
      </c>
      <c r="W42" s="190">
        <f t="shared" si="8"/>
        <v>0</v>
      </c>
      <c r="X42" s="190">
        <f t="shared" si="8"/>
        <v>3.4537500000000003</v>
      </c>
      <c r="Y42" s="190">
        <f t="shared" si="8"/>
        <v>724.49522499999989</v>
      </c>
      <c r="Z42" s="190">
        <f t="shared" si="8"/>
        <v>0</v>
      </c>
      <c r="AA42" s="190">
        <f t="shared" si="8"/>
        <v>128.74150862068964</v>
      </c>
      <c r="AB42" s="166"/>
    </row>
    <row r="43" spans="1:28" ht="15.75" x14ac:dyDescent="0.25">
      <c r="A43" s="93" t="s">
        <v>103</v>
      </c>
      <c r="B43" s="97">
        <f>+B37+B39+B41</f>
        <v>27.72</v>
      </c>
      <c r="C43" s="95"/>
      <c r="D43" s="94"/>
      <c r="E43" s="96"/>
      <c r="F43" s="94"/>
      <c r="G43" s="94"/>
      <c r="H43" s="98"/>
      <c r="I43" s="99"/>
      <c r="J43" s="185">
        <f t="shared" si="0"/>
        <v>27.72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160.49879999999999</v>
      </c>
      <c r="C44" s="95"/>
      <c r="D44" s="94"/>
      <c r="E44" s="96"/>
      <c r="F44" s="94"/>
      <c r="G44" s="94"/>
      <c r="H44" s="98"/>
      <c r="I44" s="99"/>
      <c r="J44" s="185">
        <f t="shared" si="0"/>
        <v>160.49879999999999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729.97</v>
      </c>
      <c r="C46" s="116">
        <v>7.4999999999999997E-3</v>
      </c>
      <c r="D46" s="117">
        <f>B46*C46</f>
        <v>5.4747750000000002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724.495225</v>
      </c>
      <c r="H46" s="173">
        <f>B$6+1</f>
        <v>44773</v>
      </c>
      <c r="I46" s="174"/>
      <c r="J46" s="81">
        <f t="shared" si="0"/>
        <v>729.97</v>
      </c>
      <c r="K46" s="80"/>
      <c r="L46" s="186">
        <f t="shared" ref="L46:L64" si="17">+G46-K46</f>
        <v>724.495225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5709.0599999999995</v>
      </c>
      <c r="C49" s="116">
        <v>7.4999999999999997E-3</v>
      </c>
      <c r="D49" s="117">
        <f t="shared" si="18"/>
        <v>42.817949999999996</v>
      </c>
      <c r="E49" s="172">
        <v>0</v>
      </c>
      <c r="F49" s="117">
        <f t="shared" si="15"/>
        <v>0</v>
      </c>
      <c r="G49" s="117">
        <f t="shared" si="16"/>
        <v>5666.2420499999998</v>
      </c>
      <c r="H49" s="173">
        <f t="shared" si="19"/>
        <v>44773</v>
      </c>
      <c r="I49" s="176"/>
      <c r="J49" s="81">
        <f t="shared" si="0"/>
        <v>5709.0599999999995</v>
      </c>
      <c r="K49" s="80"/>
      <c r="L49" s="186">
        <f t="shared" si="17"/>
        <v>5666.2420499999998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465.25</v>
      </c>
      <c r="C50" s="116">
        <v>7.4999999999999997E-3</v>
      </c>
      <c r="D50" s="117">
        <f t="shared" si="18"/>
        <v>3.4893749999999999</v>
      </c>
      <c r="E50" s="172">
        <v>0</v>
      </c>
      <c r="F50" s="117">
        <f t="shared" si="15"/>
        <v>0</v>
      </c>
      <c r="G50" s="117">
        <f t="shared" si="16"/>
        <v>461.760625</v>
      </c>
      <c r="H50" s="173">
        <f t="shared" si="19"/>
        <v>44773</v>
      </c>
      <c r="I50" s="175"/>
      <c r="J50" s="81">
        <f t="shared" si="0"/>
        <v>465.25</v>
      </c>
      <c r="K50" s="80"/>
      <c r="L50" s="186">
        <f t="shared" si="17"/>
        <v>461.760625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256.38</v>
      </c>
      <c r="C51" s="116">
        <v>1.4999999999999999E-2</v>
      </c>
      <c r="D51" s="117">
        <f>+B51*C51</f>
        <v>3.8456999999999999</v>
      </c>
      <c r="E51" s="172">
        <v>0</v>
      </c>
      <c r="F51" s="117">
        <f>D51*E51</f>
        <v>0</v>
      </c>
      <c r="G51" s="117">
        <f t="shared" si="16"/>
        <v>252.5343</v>
      </c>
      <c r="H51" s="173">
        <f t="shared" si="19"/>
        <v>44773</v>
      </c>
      <c r="I51" s="175"/>
      <c r="J51" s="81">
        <f t="shared" si="0"/>
        <v>256.38</v>
      </c>
      <c r="K51" s="80"/>
      <c r="L51" s="186">
        <f t="shared" si="17"/>
        <v>252.5343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138.15</v>
      </c>
      <c r="C52" s="116">
        <v>2.5000000000000001E-2</v>
      </c>
      <c r="D52" s="117">
        <f>B52*C52</f>
        <v>3.4537500000000003</v>
      </c>
      <c r="E52" s="172">
        <v>0.05</v>
      </c>
      <c r="F52" s="117">
        <f>(B52/E$10)*E52</f>
        <v>5.9547413793103452</v>
      </c>
      <c r="G52" s="117">
        <f>B52-D52-F52</f>
        <v>128.74150862068964</v>
      </c>
      <c r="H52" s="188">
        <f t="shared" si="19"/>
        <v>44773</v>
      </c>
      <c r="I52" s="176"/>
      <c r="J52" s="81">
        <f t="shared" si="0"/>
        <v>138.15</v>
      </c>
      <c r="K52" s="80"/>
      <c r="L52" s="186">
        <f t="shared" si="17"/>
        <v>128.74150862068964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555.29999999999995</v>
      </c>
      <c r="C56" s="116">
        <v>2.5000000000000001E-2</v>
      </c>
      <c r="D56" s="117">
        <f t="shared" si="20"/>
        <v>13.8825</v>
      </c>
      <c r="E56" s="172">
        <v>0.05</v>
      </c>
      <c r="F56" s="117">
        <f t="shared" si="21"/>
        <v>23.935344827586206</v>
      </c>
      <c r="G56" s="117">
        <f t="shared" si="22"/>
        <v>517.48215517241374</v>
      </c>
      <c r="H56" s="173">
        <f t="shared" si="19"/>
        <v>44773</v>
      </c>
      <c r="I56" s="176"/>
      <c r="J56" s="81">
        <f t="shared" si="0"/>
        <v>555.29999999999995</v>
      </c>
      <c r="K56" s="80"/>
      <c r="L56" s="186">
        <f t="shared" si="17"/>
        <v>517.48215517241374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72.96405</v>
      </c>
      <c r="E61" s="177"/>
      <c r="F61" s="57">
        <f>SUM(F46:F58)</f>
        <v>29.890086206896552</v>
      </c>
      <c r="G61" s="57">
        <f>SUM(G46:G58)</f>
        <v>7751.2558637931024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7751.2558637931024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15502.511727586205</v>
      </c>
      <c r="H64" s="184"/>
      <c r="I64" s="175"/>
      <c r="J64" s="81">
        <f t="shared" si="0"/>
        <v>0</v>
      </c>
      <c r="K64" s="80"/>
      <c r="L64" s="186">
        <f t="shared" si="17"/>
        <v>15502.511727586205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12450.208799999999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12426.74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12329.71</v>
      </c>
      <c r="C69" s="59"/>
      <c r="F69" s="87" t="s">
        <v>129</v>
      </c>
      <c r="G69" s="22"/>
      <c r="H69" s="89"/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97.030000000000655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/>
      <c r="Q70" s="228">
        <v>59</v>
      </c>
      <c r="R70" s="238">
        <v>633.03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4.747725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628.28227500000003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23.468799999998737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/>
      <c r="Q71" s="228">
        <v>60</v>
      </c>
      <c r="R71" s="238">
        <v>1384.58</v>
      </c>
      <c r="S71" s="228"/>
      <c r="T71" s="228"/>
      <c r="U71" s="189">
        <f t="shared" si="34"/>
        <v>0</v>
      </c>
      <c r="V71" s="189">
        <f t="shared" si="35"/>
        <v>10.38435</v>
      </c>
      <c r="W71" s="189">
        <f t="shared" si="36"/>
        <v>0</v>
      </c>
      <c r="X71" s="189">
        <f t="shared" si="37"/>
        <v>0</v>
      </c>
      <c r="Y71" s="189">
        <f t="shared" si="38"/>
        <v>1374.1956499999999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/>
      <c r="Q72" s="228">
        <v>474</v>
      </c>
      <c r="R72" s="238">
        <v>563.32000000000005</v>
      </c>
      <c r="S72" s="228"/>
      <c r="T72" s="228"/>
      <c r="U72" s="189">
        <f t="shared" si="34"/>
        <v>0</v>
      </c>
      <c r="V72" s="189">
        <f t="shared" si="35"/>
        <v>4.2248999999999999</v>
      </c>
      <c r="W72" s="189">
        <f t="shared" si="36"/>
        <v>0</v>
      </c>
      <c r="X72" s="189">
        <f t="shared" si="37"/>
        <v>0</v>
      </c>
      <c r="Y72" s="189">
        <f t="shared" si="38"/>
        <v>559.0951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/>
      <c r="Q73" s="228">
        <v>748</v>
      </c>
      <c r="R73" s="238">
        <v>12.13</v>
      </c>
      <c r="S73" s="228"/>
      <c r="T73" s="228"/>
      <c r="U73" s="189">
        <f t="shared" si="34"/>
        <v>0</v>
      </c>
      <c r="V73" s="189">
        <f t="shared" si="35"/>
        <v>9.0975E-2</v>
      </c>
      <c r="W73" s="189">
        <f t="shared" si="36"/>
        <v>0</v>
      </c>
      <c r="X73" s="189">
        <f t="shared" si="37"/>
        <v>0</v>
      </c>
      <c r="Y73" s="189">
        <f t="shared" si="38"/>
        <v>12.039025000000001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>
        <v>755</v>
      </c>
      <c r="R74" s="238">
        <f>1378.85+1737.15</f>
        <v>3116</v>
      </c>
      <c r="S74" s="228"/>
      <c r="T74" s="228">
        <v>555.29999999999995</v>
      </c>
      <c r="U74" s="189">
        <f t="shared" si="34"/>
        <v>23.935344827586206</v>
      </c>
      <c r="V74" s="189">
        <f t="shared" si="35"/>
        <v>23.369999999999997</v>
      </c>
      <c r="W74" s="189">
        <f t="shared" si="36"/>
        <v>0</v>
      </c>
      <c r="X74" s="189">
        <f t="shared" si="37"/>
        <v>13.8825</v>
      </c>
      <c r="Y74" s="189">
        <f t="shared" si="38"/>
        <v>3092.63</v>
      </c>
      <c r="Z74" s="189">
        <f t="shared" si="38"/>
        <v>0</v>
      </c>
      <c r="AA74" s="189">
        <f t="shared" si="39"/>
        <v>517.48215517241374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5709.0599999999995</v>
      </c>
      <c r="S75" s="192"/>
      <c r="T75" s="192">
        <f>SUM(T70:T74)</f>
        <v>555.29999999999995</v>
      </c>
      <c r="U75" s="192">
        <f>SUM(U70:U74)</f>
        <v>23.935344827586206</v>
      </c>
      <c r="V75" s="192">
        <f t="shared" ref="V75:AA75" si="41">SUM(V70:V74)</f>
        <v>42.817949999999996</v>
      </c>
      <c r="W75" s="192">
        <f t="shared" si="41"/>
        <v>0</v>
      </c>
      <c r="X75" s="192">
        <f t="shared" si="41"/>
        <v>13.8825</v>
      </c>
      <c r="Y75" s="192">
        <f t="shared" si="41"/>
        <v>5666.2420499999998</v>
      </c>
      <c r="Z75" s="192">
        <f t="shared" si="41"/>
        <v>0</v>
      </c>
      <c r="AA75" s="193">
        <f t="shared" si="41"/>
        <v>517.48215517241374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87">
        <f>41.29+7.58</f>
        <v>48.87</v>
      </c>
      <c r="R78" s="82">
        <v>7.4999999999999997E-3</v>
      </c>
      <c r="S78" s="216">
        <f>+(P78+Q78)*R78</f>
        <v>0.36652499999999999</v>
      </c>
      <c r="T78" s="219">
        <f>+(P78+Q78)-S78</f>
        <v>48.503474999999995</v>
      </c>
      <c r="U78" s="211">
        <f>50.48</f>
        <v>50.48</v>
      </c>
      <c r="V78" s="112"/>
      <c r="W78" s="113">
        <v>1.4999999999999999E-2</v>
      </c>
      <c r="X78" s="217">
        <f>+(U78+V78)*W78</f>
        <v>0.75719999999999987</v>
      </c>
      <c r="Y78" s="246">
        <f>+(U78+V78)-X78</f>
        <v>49.722799999999999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/>
      <c r="Q79" s="87">
        <f>200.43+116.24</f>
        <v>316.67</v>
      </c>
      <c r="R79" s="82">
        <v>7.4999999999999997E-3</v>
      </c>
      <c r="S79" s="216">
        <f t="shared" ref="S79:S97" si="43">+(P79+Q79)*R79</f>
        <v>2.3750249999999999</v>
      </c>
      <c r="T79" s="219">
        <f t="shared" ref="T79:T97" si="44">+(P79+Q79)-S79</f>
        <v>314.29497500000002</v>
      </c>
      <c r="U79" s="211">
        <f>94.62</f>
        <v>94.62</v>
      </c>
      <c r="V79" s="112"/>
      <c r="W79" s="113">
        <v>1.4999999999999999E-2</v>
      </c>
      <c r="X79" s="217">
        <f t="shared" ref="X79:X97" si="45">+(U79+V79)*W79</f>
        <v>1.4193</v>
      </c>
      <c r="Y79" s="246">
        <f t="shared" ref="Y79:Y97" si="46">+(U79+V79)-X79</f>
        <v>93.200699999999998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>
        <f>99.71</f>
        <v>99.71</v>
      </c>
      <c r="R80" s="82">
        <v>7.4999999999999997E-3</v>
      </c>
      <c r="S80" s="216">
        <f t="shared" si="43"/>
        <v>0.74782499999999996</v>
      </c>
      <c r="T80" s="219">
        <f t="shared" si="44"/>
        <v>98.962174999999988</v>
      </c>
      <c r="U80" s="211">
        <f>111.28</f>
        <v>111.28</v>
      </c>
      <c r="V80" s="112"/>
      <c r="W80" s="113">
        <v>1.4999999999999999E-2</v>
      </c>
      <c r="X80" s="217">
        <f t="shared" si="45"/>
        <v>1.6692</v>
      </c>
      <c r="Y80" s="213">
        <f t="shared" si="46"/>
        <v>109.6108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465.25</v>
      </c>
      <c r="R98" s="111"/>
      <c r="S98" s="195">
        <f>SUM(S78:S97)</f>
        <v>3.4893749999999999</v>
      </c>
      <c r="T98" s="195">
        <f>SUM(T78:T97)</f>
        <v>461.760625</v>
      </c>
      <c r="U98" s="114">
        <f>SUM(U78:U97)</f>
        <v>256.38</v>
      </c>
      <c r="V98" s="114">
        <f>SUM(V78:V97)</f>
        <v>0</v>
      </c>
      <c r="W98" s="112"/>
      <c r="X98" s="197">
        <f>SUM(X78:X97)</f>
        <v>3.8456999999999999</v>
      </c>
      <c r="Y98" s="197">
        <f>SUM(Y78:Y97)</f>
        <v>252.53429999999997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99.35</v>
      </c>
    </row>
    <row r="102" spans="14:30" x14ac:dyDescent="0.25">
      <c r="N102" s="85"/>
      <c r="P102" s="215">
        <f>P79+Q79+U79</f>
        <v>411.29</v>
      </c>
    </row>
    <row r="103" spans="14:30" x14ac:dyDescent="0.25">
      <c r="N103" s="85"/>
      <c r="P103" s="215">
        <f>P80+Q80+U80</f>
        <v>210.99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36">
        <f t="shared" ref="P105:P106" si="50">P82+Q82+U82</f>
        <v>0</v>
      </c>
    </row>
    <row r="106" spans="14:30" x14ac:dyDescent="0.25">
      <c r="N106" s="85"/>
      <c r="P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3" zoomScale="90" zoomScaleNormal="90" workbookViewId="0">
      <selection activeCell="B41" sqref="B40:B4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169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170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44773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197.5+63+406.5+239+443.5</f>
        <v>1349.5</v>
      </c>
      <c r="C12" s="15"/>
      <c r="D12" s="56"/>
      <c r="E12" s="16"/>
      <c r="F12" s="56"/>
      <c r="G12" s="56"/>
      <c r="H12" s="17"/>
      <c r="I12" s="83">
        <v>1349.5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219</v>
      </c>
      <c r="P12" s="153">
        <v>232</v>
      </c>
      <c r="Q12" s="153"/>
      <c r="R12" s="154">
        <v>67.94</v>
      </c>
      <c r="S12" s="155"/>
      <c r="T12" s="155"/>
      <c r="U12" s="189">
        <f>((T12/U$10)*U$9)</f>
        <v>0</v>
      </c>
      <c r="V12" s="189">
        <f>R12*V$10</f>
        <v>0.50954999999999995</v>
      </c>
      <c r="W12" s="189">
        <f>+S12*V$10</f>
        <v>0</v>
      </c>
      <c r="X12" s="189">
        <f>+T12*X$10</f>
        <v>0</v>
      </c>
      <c r="Y12" s="189">
        <f>R12-V12</f>
        <v>67.430449999999993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97+95+141+47+150</f>
        <v>530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530</v>
      </c>
      <c r="K13" s="75"/>
      <c r="L13" s="186">
        <f t="shared" ref="L13:L42" si="1">+G13-K13</f>
        <v>0</v>
      </c>
      <c r="M13" s="106"/>
      <c r="N13" s="104">
        <v>2</v>
      </c>
      <c r="O13" s="152" t="s">
        <v>219</v>
      </c>
      <c r="P13" s="153">
        <v>131</v>
      </c>
      <c r="Q13" s="153"/>
      <c r="R13" s="154">
        <v>785.22</v>
      </c>
      <c r="S13" s="155"/>
      <c r="T13" s="157">
        <v>28.4</v>
      </c>
      <c r="U13" s="189">
        <f t="shared" ref="U13:U41" si="2">((T13/U$10)*U$9)</f>
        <v>1.2241379310344829</v>
      </c>
      <c r="V13" s="189">
        <f t="shared" ref="V13:V41" si="3">R13*V$10</f>
        <v>5.8891499999999999</v>
      </c>
      <c r="W13" s="189">
        <f t="shared" ref="W13:W41" si="4">+S13*V$10</f>
        <v>0</v>
      </c>
      <c r="X13" s="189">
        <f t="shared" ref="X13:X41" si="5">+T13*X$10</f>
        <v>0.71</v>
      </c>
      <c r="Y13" s="189">
        <f t="shared" ref="Y13:Z41" si="6">R13-V13</f>
        <v>779.33085000000005</v>
      </c>
      <c r="Z13" s="189">
        <f t="shared" si="6"/>
        <v>0</v>
      </c>
      <c r="AA13" s="189">
        <f t="shared" ref="AA13:AA41" si="7">T13-U13-X13</f>
        <v>26.465862068965514</v>
      </c>
      <c r="AB13" s="156"/>
    </row>
    <row r="14" spans="1:28" ht="15.75" x14ac:dyDescent="0.25">
      <c r="A14" s="86" t="s">
        <v>83</v>
      </c>
      <c r="B14" s="57">
        <f>B13*B8</f>
        <v>3068.7</v>
      </c>
      <c r="C14" s="15"/>
      <c r="D14" s="56"/>
      <c r="E14" s="16"/>
      <c r="F14" s="56"/>
      <c r="G14" s="56"/>
      <c r="H14" s="17"/>
      <c r="I14" s="83"/>
      <c r="J14" s="81">
        <f t="shared" si="0"/>
        <v>3068.7</v>
      </c>
      <c r="K14" s="80"/>
      <c r="L14" s="186">
        <f t="shared" si="1"/>
        <v>0</v>
      </c>
      <c r="M14" s="107"/>
      <c r="N14" s="104">
        <v>3</v>
      </c>
      <c r="O14" s="152" t="s">
        <v>219</v>
      </c>
      <c r="P14" s="153">
        <v>263</v>
      </c>
      <c r="Q14" s="153"/>
      <c r="R14" s="154">
        <v>89.18</v>
      </c>
      <c r="S14" s="155"/>
      <c r="T14" s="157"/>
      <c r="U14" s="189">
        <f t="shared" si="2"/>
        <v>0</v>
      </c>
      <c r="V14" s="189">
        <f t="shared" si="3"/>
        <v>0.66885000000000006</v>
      </c>
      <c r="W14" s="189">
        <f t="shared" si="4"/>
        <v>0</v>
      </c>
      <c r="X14" s="189">
        <f t="shared" si="5"/>
        <v>0</v>
      </c>
      <c r="Y14" s="189">
        <f t="shared" si="6"/>
        <v>88.511150000000001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530</v>
      </c>
      <c r="C19" s="95"/>
      <c r="D19" s="94"/>
      <c r="E19" s="96"/>
      <c r="F19" s="94"/>
      <c r="G19" s="94"/>
      <c r="H19" s="98"/>
      <c r="I19" s="99">
        <v>530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3068.7</v>
      </c>
      <c r="C20" s="95"/>
      <c r="D20" s="94"/>
      <c r="E20" s="96"/>
      <c r="F20" s="94"/>
      <c r="G20" s="94"/>
      <c r="H20" s="98"/>
      <c r="I20" s="99">
        <v>3068.7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53.84</v>
      </c>
      <c r="C37" s="100"/>
      <c r="D37" s="66"/>
      <c r="E37" s="67"/>
      <c r="F37" s="66"/>
      <c r="G37" s="66"/>
      <c r="H37" s="102"/>
      <c r="I37" s="79"/>
      <c r="J37" s="81">
        <f t="shared" si="0"/>
        <v>53.84</v>
      </c>
      <c r="K37" s="80"/>
      <c r="L37" s="186">
        <f>K37-B37</f>
        <v>-53.84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311.73360000000002</v>
      </c>
      <c r="C38" s="100"/>
      <c r="D38" s="66"/>
      <c r="E38" s="67"/>
      <c r="F38" s="66"/>
      <c r="G38" s="66"/>
      <c r="H38" s="102"/>
      <c r="I38" s="79"/>
      <c r="J38" s="81">
        <f t="shared" si="0"/>
        <v>311.73360000000002</v>
      </c>
      <c r="K38" s="80"/>
      <c r="L38" s="186">
        <f>K38-B38</f>
        <v>-311.73360000000002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9" t="s">
        <v>107</v>
      </c>
      <c r="O42" s="300"/>
      <c r="P42" s="300"/>
      <c r="Q42" s="301"/>
      <c r="R42" s="190">
        <f t="shared" ref="R42:AA42" si="8">SUM(R12:R41)</f>
        <v>942.34000000000015</v>
      </c>
      <c r="S42" s="190">
        <f t="shared" si="8"/>
        <v>0</v>
      </c>
      <c r="T42" s="190">
        <f t="shared" si="8"/>
        <v>28.4</v>
      </c>
      <c r="U42" s="190">
        <f t="shared" si="8"/>
        <v>1.2241379310344829</v>
      </c>
      <c r="V42" s="190">
        <f t="shared" si="8"/>
        <v>7.0675499999999998</v>
      </c>
      <c r="W42" s="190">
        <f t="shared" si="8"/>
        <v>0</v>
      </c>
      <c r="X42" s="190">
        <f t="shared" si="8"/>
        <v>0.71</v>
      </c>
      <c r="Y42" s="190">
        <f t="shared" si="8"/>
        <v>935.27245000000005</v>
      </c>
      <c r="Z42" s="190">
        <f t="shared" si="8"/>
        <v>0</v>
      </c>
      <c r="AA42" s="190">
        <f t="shared" si="8"/>
        <v>26.465862068965514</v>
      </c>
      <c r="AB42" s="166"/>
    </row>
    <row r="43" spans="1:28" ht="15.75" x14ac:dyDescent="0.25">
      <c r="A43" s="93" t="s">
        <v>103</v>
      </c>
      <c r="B43" s="97">
        <f>+B37+B39+B41</f>
        <v>53.84</v>
      </c>
      <c r="C43" s="95"/>
      <c r="D43" s="94"/>
      <c r="E43" s="96"/>
      <c r="F43" s="94"/>
      <c r="G43" s="94"/>
      <c r="H43" s="98"/>
      <c r="I43" s="99">
        <v>53.84</v>
      </c>
      <c r="J43" s="185">
        <f t="shared" si="0"/>
        <v>0</v>
      </c>
      <c r="K43" s="99"/>
      <c r="L43" s="187">
        <f>K43-B43</f>
        <v>-53.84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311.73360000000002</v>
      </c>
      <c r="C44" s="95"/>
      <c r="D44" s="94"/>
      <c r="E44" s="96"/>
      <c r="F44" s="94"/>
      <c r="G44" s="94"/>
      <c r="H44" s="98"/>
      <c r="I44" s="99"/>
      <c r="J44" s="185">
        <f t="shared" si="0"/>
        <v>311.73360000000002</v>
      </c>
      <c r="K44" s="99"/>
      <c r="L44" s="187">
        <f>K44-B44</f>
        <v>-311.73360000000002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942.34000000000015</v>
      </c>
      <c r="C46" s="116">
        <v>7.4999999999999997E-3</v>
      </c>
      <c r="D46" s="117">
        <f>B46*C46</f>
        <v>7.0675500000000007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935.27245000000016</v>
      </c>
      <c r="H46" s="173">
        <f>B$6+1</f>
        <v>44774</v>
      </c>
      <c r="I46" s="174">
        <v>942.34</v>
      </c>
      <c r="J46" s="81">
        <f t="shared" si="0"/>
        <v>0</v>
      </c>
      <c r="K46" s="80"/>
      <c r="L46" s="186">
        <f t="shared" ref="L46:L64" si="17">+G46-K46</f>
        <v>935.27245000000016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220</v>
      </c>
      <c r="B49" s="117">
        <f>R75</f>
        <v>4708.6499999999996</v>
      </c>
      <c r="C49" s="116">
        <v>7.4999999999999997E-3</v>
      </c>
      <c r="D49" s="117">
        <f t="shared" si="18"/>
        <v>35.314874999999994</v>
      </c>
      <c r="E49" s="172">
        <v>0</v>
      </c>
      <c r="F49" s="117">
        <f t="shared" si="15"/>
        <v>0</v>
      </c>
      <c r="G49" s="117">
        <f t="shared" si="16"/>
        <v>4673.3351249999996</v>
      </c>
      <c r="H49" s="173">
        <f t="shared" si="19"/>
        <v>44774</v>
      </c>
      <c r="I49" s="176">
        <v>4708.6499999999996</v>
      </c>
      <c r="J49" s="81">
        <f t="shared" si="0"/>
        <v>0</v>
      </c>
      <c r="K49" s="80"/>
      <c r="L49" s="186">
        <f t="shared" si="17"/>
        <v>4673.3351249999996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384.96</v>
      </c>
      <c r="C50" s="116">
        <v>7.4999999999999997E-3</v>
      </c>
      <c r="D50" s="117">
        <f t="shared" si="18"/>
        <v>2.8871999999999995</v>
      </c>
      <c r="E50" s="172">
        <v>0</v>
      </c>
      <c r="F50" s="117">
        <f t="shared" si="15"/>
        <v>0</v>
      </c>
      <c r="G50" s="117">
        <f t="shared" si="16"/>
        <v>382.07279999999997</v>
      </c>
      <c r="H50" s="173">
        <f t="shared" si="19"/>
        <v>44774</v>
      </c>
      <c r="I50" s="175">
        <v>481.77</v>
      </c>
      <c r="J50" s="81">
        <f t="shared" si="0"/>
        <v>-96.81</v>
      </c>
      <c r="K50" s="80"/>
      <c r="L50" s="186">
        <f t="shared" si="17"/>
        <v>382.07279999999997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96.81</v>
      </c>
      <c r="C51" s="116">
        <v>1.4999999999999999E-2</v>
      </c>
      <c r="D51" s="117">
        <f>+B51*C51</f>
        <v>1.4521500000000001</v>
      </c>
      <c r="E51" s="172">
        <v>0</v>
      </c>
      <c r="F51" s="117">
        <f>D51*E51</f>
        <v>0</v>
      </c>
      <c r="G51" s="117">
        <f t="shared" si="16"/>
        <v>95.357849999999999</v>
      </c>
      <c r="H51" s="173">
        <f t="shared" si="19"/>
        <v>44774</v>
      </c>
      <c r="I51" s="175"/>
      <c r="J51" s="81">
        <f t="shared" si="0"/>
        <v>96.81</v>
      </c>
      <c r="K51" s="80"/>
      <c r="L51" s="186">
        <f t="shared" si="17"/>
        <v>95.357849999999999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28.4</v>
      </c>
      <c r="C52" s="116">
        <v>2.5000000000000001E-2</v>
      </c>
      <c r="D52" s="117">
        <f>B52*C52</f>
        <v>0.71</v>
      </c>
      <c r="E52" s="172">
        <v>0.05</v>
      </c>
      <c r="F52" s="117">
        <f>(B52/E$10)*E52</f>
        <v>1.2241379310344829</v>
      </c>
      <c r="G52" s="117">
        <f>B52-D52-F52</f>
        <v>26.465862068965514</v>
      </c>
      <c r="H52" s="188">
        <f t="shared" si="19"/>
        <v>44774</v>
      </c>
      <c r="I52" s="176">
        <v>28.4</v>
      </c>
      <c r="J52" s="81">
        <f t="shared" si="0"/>
        <v>0</v>
      </c>
      <c r="K52" s="80"/>
      <c r="L52" s="186">
        <f t="shared" si="17"/>
        <v>26.465862068965514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12.04</v>
      </c>
      <c r="C56" s="116">
        <v>2.5000000000000001E-2</v>
      </c>
      <c r="D56" s="117">
        <f t="shared" si="20"/>
        <v>0.30099999999999999</v>
      </c>
      <c r="E56" s="172">
        <v>0.05</v>
      </c>
      <c r="F56" s="117">
        <f t="shared" si="21"/>
        <v>0.51896551724137929</v>
      </c>
      <c r="G56" s="117">
        <f t="shared" si="22"/>
        <v>11.220034482758619</v>
      </c>
      <c r="H56" s="173">
        <f t="shared" si="19"/>
        <v>44774</v>
      </c>
      <c r="I56" s="176">
        <v>12.04</v>
      </c>
      <c r="J56" s="81">
        <f t="shared" si="0"/>
        <v>0</v>
      </c>
      <c r="K56" s="80"/>
      <c r="L56" s="186">
        <f t="shared" si="17"/>
        <v>11.220034482758619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47.732775000000004</v>
      </c>
      <c r="E61" s="177"/>
      <c r="F61" s="57">
        <f>SUM(F46:F58)</f>
        <v>1.7431034482758623</v>
      </c>
      <c r="G61" s="57">
        <f>SUM(G46:G58)</f>
        <v>6123.7241215517242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6123.7241215517242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12247.448243103448</v>
      </c>
      <c r="H64" s="184"/>
      <c r="I64" s="175"/>
      <c r="J64" s="81">
        <f t="shared" si="0"/>
        <v>0</v>
      </c>
      <c r="K64" s="80"/>
      <c r="L64" s="186">
        <f t="shared" si="17"/>
        <v>12247.448243103448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10903.133599999999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10886.79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10796.12</v>
      </c>
      <c r="C69" s="59"/>
      <c r="F69" s="87" t="s">
        <v>129</v>
      </c>
      <c r="G69" s="22">
        <f>+G46</f>
        <v>935.27245000000016</v>
      </c>
      <c r="H69" s="89">
        <f>+G52</f>
        <v>26.465862068965514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10886.79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197</v>
      </c>
      <c r="P70" s="228"/>
      <c r="Q70" s="228">
        <v>61</v>
      </c>
      <c r="R70" s="228">
        <v>926.98</v>
      </c>
      <c r="S70" s="228"/>
      <c r="T70" s="228">
        <v>12.04</v>
      </c>
      <c r="U70" s="189">
        <f t="shared" ref="U70:U74" si="34">((T70/U$10)*U$9)</f>
        <v>0.51896551724137929</v>
      </c>
      <c r="V70" s="189">
        <f t="shared" ref="V70:V74" si="35">R70*V$10</f>
        <v>6.95235</v>
      </c>
      <c r="W70" s="189">
        <f t="shared" ref="W70:W74" si="36">+S70*V$10</f>
        <v>0</v>
      </c>
      <c r="X70" s="189">
        <f t="shared" ref="X70:X74" si="37">+T70*X$10</f>
        <v>0.30099999999999999</v>
      </c>
      <c r="Y70" s="189">
        <f t="shared" ref="Y70:Z74" si="38">R70-V70</f>
        <v>920.02764999999999</v>
      </c>
      <c r="Z70" s="189">
        <f t="shared" si="38"/>
        <v>0</v>
      </c>
      <c r="AA70" s="189">
        <f t="shared" ref="AA70:AA74" si="39">T70-U70-X70</f>
        <v>11.220034482758619</v>
      </c>
      <c r="AB70" s="87"/>
    </row>
    <row r="71" spans="1:30" ht="28.5" customHeight="1" thickBot="1" x14ac:dyDescent="0.3">
      <c r="A71" s="25" t="s">
        <v>57</v>
      </c>
      <c r="B71" s="70">
        <f>B65-B68</f>
        <v>16.343599999998332</v>
      </c>
      <c r="C71" s="64"/>
      <c r="F71" s="87" t="s">
        <v>131</v>
      </c>
      <c r="G71" s="137"/>
      <c r="H71" s="87"/>
      <c r="I71" s="81">
        <f>+I69-G69-G70-G71-G72-G73</f>
        <v>-935.27245000000016</v>
      </c>
      <c r="J71" s="81">
        <f>+J69-H69-H70-H71-H72-H73</f>
        <v>-26.465862068965514</v>
      </c>
      <c r="N71" s="87">
        <v>2</v>
      </c>
      <c r="O71" s="122" t="s">
        <v>197</v>
      </c>
      <c r="P71" s="228"/>
      <c r="Q71" s="228">
        <v>749</v>
      </c>
      <c r="R71" s="228">
        <v>631.08000000000004</v>
      </c>
      <c r="S71" s="228"/>
      <c r="T71" s="228"/>
      <c r="U71" s="189">
        <f t="shared" si="34"/>
        <v>0</v>
      </c>
      <c r="V71" s="189">
        <f t="shared" si="35"/>
        <v>4.7331000000000003</v>
      </c>
      <c r="W71" s="189">
        <f t="shared" si="36"/>
        <v>0</v>
      </c>
      <c r="X71" s="189">
        <f t="shared" si="37"/>
        <v>0</v>
      </c>
      <c r="Y71" s="189">
        <f t="shared" si="38"/>
        <v>626.34690000000001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197</v>
      </c>
      <c r="P72" s="228"/>
      <c r="Q72" s="228">
        <v>750</v>
      </c>
      <c r="R72" s="228">
        <v>995.6</v>
      </c>
      <c r="S72" s="228"/>
      <c r="T72" s="228"/>
      <c r="U72" s="189">
        <f t="shared" si="34"/>
        <v>0</v>
      </c>
      <c r="V72" s="189">
        <f t="shared" si="35"/>
        <v>7.4669999999999996</v>
      </c>
      <c r="W72" s="189">
        <f t="shared" si="36"/>
        <v>0</v>
      </c>
      <c r="X72" s="189">
        <f t="shared" si="37"/>
        <v>0</v>
      </c>
      <c r="Y72" s="189">
        <f t="shared" si="38"/>
        <v>988.13300000000004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/>
      <c r="Q73" s="228">
        <v>757</v>
      </c>
      <c r="R73" s="228">
        <v>930.16</v>
      </c>
      <c r="S73" s="228"/>
      <c r="T73" s="228"/>
      <c r="U73" s="189">
        <f t="shared" si="34"/>
        <v>0</v>
      </c>
      <c r="V73" s="189">
        <f t="shared" si="35"/>
        <v>6.9761999999999995</v>
      </c>
      <c r="W73" s="189">
        <f t="shared" si="36"/>
        <v>0</v>
      </c>
      <c r="X73" s="189">
        <f t="shared" si="37"/>
        <v>0</v>
      </c>
      <c r="Y73" s="189">
        <f t="shared" si="38"/>
        <v>923.18380000000002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935.27245000000016</v>
      </c>
      <c r="H74" s="89">
        <f t="shared" ref="H74" si="40">+H69+H70+H71+H72+H73</f>
        <v>26.465862068965514</v>
      </c>
      <c r="N74" s="87">
        <v>5</v>
      </c>
      <c r="O74" s="122" t="s">
        <v>197</v>
      </c>
      <c r="P74" s="228"/>
      <c r="Q74" s="228">
        <v>759</v>
      </c>
      <c r="R74" s="228">
        <f>51.84+1172.99</f>
        <v>1224.83</v>
      </c>
      <c r="S74" s="228"/>
      <c r="T74" s="228"/>
      <c r="U74" s="189">
        <f t="shared" si="34"/>
        <v>0</v>
      </c>
      <c r="V74" s="189">
        <f t="shared" si="35"/>
        <v>9.1862249999999985</v>
      </c>
      <c r="W74" s="189">
        <f t="shared" si="36"/>
        <v>0</v>
      </c>
      <c r="X74" s="189">
        <f t="shared" si="37"/>
        <v>0</v>
      </c>
      <c r="Y74" s="189">
        <f t="shared" si="38"/>
        <v>1215.643775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4708.6499999999996</v>
      </c>
      <c r="S75" s="192"/>
      <c r="T75" s="192">
        <f>SUM(T70:T74)</f>
        <v>12.04</v>
      </c>
      <c r="U75" s="192">
        <f>SUM(U70:U74)</f>
        <v>0.51896551724137929</v>
      </c>
      <c r="V75" s="192">
        <f t="shared" ref="V75:AA75" si="41">SUM(V70:V74)</f>
        <v>35.314874999999994</v>
      </c>
      <c r="W75" s="192">
        <f t="shared" si="41"/>
        <v>0</v>
      </c>
      <c r="X75" s="192">
        <f t="shared" si="41"/>
        <v>0.30099999999999999</v>
      </c>
      <c r="Y75" s="192">
        <f t="shared" si="41"/>
        <v>4673.3351249999996</v>
      </c>
      <c r="Z75" s="192">
        <f t="shared" si="41"/>
        <v>0</v>
      </c>
      <c r="AA75" s="193">
        <f t="shared" si="41"/>
        <v>11.220034482758619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54.88</f>
        <v>54.88</v>
      </c>
      <c r="R78" s="82">
        <v>7.4999999999999997E-3</v>
      </c>
      <c r="S78" s="194">
        <f>+(P78+Q78)*R78</f>
        <v>0.41160000000000002</v>
      </c>
      <c r="T78" s="219">
        <f>+(P78+Q78)-S78</f>
        <v>54.468400000000003</v>
      </c>
      <c r="U78" s="211">
        <f>18.3</f>
        <v>18.3</v>
      </c>
      <c r="V78" s="112"/>
      <c r="W78" s="113">
        <v>1.4999999999999999E-2</v>
      </c>
      <c r="X78" s="196">
        <f>+(U78+V78)*W78</f>
        <v>0.27450000000000002</v>
      </c>
      <c r="Y78" s="217">
        <f>+(U78+V78)-X78</f>
        <v>18.025500000000001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382.07279999999997</v>
      </c>
      <c r="H79" s="136">
        <f>K50</f>
        <v>0</v>
      </c>
      <c r="N79" s="87">
        <v>2</v>
      </c>
      <c r="O79" s="87" t="s">
        <v>112</v>
      </c>
      <c r="P79" s="137"/>
      <c r="Q79" s="87">
        <f>45.13</f>
        <v>45.13</v>
      </c>
      <c r="R79" s="82">
        <v>7.4999999999999997E-3</v>
      </c>
      <c r="S79" s="194">
        <f t="shared" ref="S79:S97" si="43">+(P79+Q79)*R79</f>
        <v>0.33847500000000003</v>
      </c>
      <c r="T79" s="219">
        <f t="shared" ref="T79:T97" si="44">+(P79+Q79)-S79</f>
        <v>44.791525</v>
      </c>
      <c r="U79" s="211">
        <f>17.59</f>
        <v>17.59</v>
      </c>
      <c r="V79" s="112"/>
      <c r="W79" s="113">
        <v>1.4999999999999999E-2</v>
      </c>
      <c r="X79" s="196">
        <f t="shared" ref="X79:X97" si="45">+(U79+V79)*W79</f>
        <v>0.26384999999999997</v>
      </c>
      <c r="Y79" s="217">
        <f t="shared" ref="Y79:Y97" si="46">+(U79+V79)-X79</f>
        <v>17.326149999999998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42.93+99.72+80.13+62.17</f>
        <v>284.95</v>
      </c>
      <c r="R80" s="82">
        <v>7.4999999999999997E-3</v>
      </c>
      <c r="S80" s="194">
        <f t="shared" si="43"/>
        <v>2.1371249999999997</v>
      </c>
      <c r="T80" s="219">
        <f t="shared" si="44"/>
        <v>282.81287499999996</v>
      </c>
      <c r="U80" s="211">
        <f>31.32+29.6</f>
        <v>60.92</v>
      </c>
      <c r="V80" s="112"/>
      <c r="W80" s="113">
        <v>1.4999999999999999E-2</v>
      </c>
      <c r="X80" s="196">
        <f t="shared" si="45"/>
        <v>0.91379999999999995</v>
      </c>
      <c r="Y80" s="217">
        <f t="shared" si="46"/>
        <v>60.0062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-382.07279999999997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20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20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382.07279999999997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384.96</v>
      </c>
      <c r="R98" s="111"/>
      <c r="S98" s="195">
        <f>SUM(S78:S97)</f>
        <v>2.8872</v>
      </c>
      <c r="T98" s="195">
        <f>SUM(T78:T97)</f>
        <v>382.07279999999997</v>
      </c>
      <c r="U98" s="114">
        <f>SUM(U78:U97)</f>
        <v>96.81</v>
      </c>
      <c r="V98" s="114">
        <f>SUM(V78:V97)</f>
        <v>0</v>
      </c>
      <c r="W98" s="112"/>
      <c r="X98" s="197">
        <f>SUM(X78:X97)</f>
        <v>1.4521500000000001</v>
      </c>
      <c r="Y98" s="197">
        <f>SUM(Y78:Y97)</f>
        <v>95.357849999999999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73.180000000000007</v>
      </c>
    </row>
    <row r="102" spans="14:30" x14ac:dyDescent="0.25">
      <c r="N102" s="85"/>
      <c r="P102" s="215">
        <f>P79+U79+Q79</f>
        <v>62.72</v>
      </c>
    </row>
    <row r="103" spans="14:30" x14ac:dyDescent="0.25">
      <c r="N103" s="85"/>
      <c r="P103" s="212">
        <f>P80+Q80+U80</f>
        <v>345.87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19" zoomScale="90" zoomScaleNormal="90" workbookViewId="0">
      <selection activeCell="C41" sqref="C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7"/>
      <c r="B1" s="281" t="s">
        <v>12</v>
      </c>
      <c r="C1" s="282"/>
      <c r="D1" s="282"/>
      <c r="E1" s="282"/>
      <c r="F1" s="282"/>
      <c r="G1" s="282"/>
      <c r="H1" s="282"/>
      <c r="I1" s="282"/>
      <c r="J1" s="283"/>
    </row>
    <row r="2" spans="1:10" s="84" customFormat="1" ht="16.5" customHeight="1" x14ac:dyDescent="0.25">
      <c r="A2" s="277"/>
      <c r="B2" s="284" t="s">
        <v>149</v>
      </c>
      <c r="C2" s="285"/>
      <c r="D2" s="285"/>
      <c r="E2" s="285"/>
      <c r="F2" s="285"/>
      <c r="G2" s="285"/>
      <c r="H2" s="285"/>
      <c r="I2" s="285"/>
      <c r="J2" s="286"/>
    </row>
    <row r="3" spans="1:10" s="84" customFormat="1" ht="16.5" customHeight="1" x14ac:dyDescent="0.25">
      <c r="A3" s="277"/>
      <c r="B3" s="280"/>
      <c r="C3" s="280"/>
      <c r="D3" s="280"/>
      <c r="E3" s="280"/>
      <c r="F3" s="280"/>
      <c r="G3" s="280"/>
      <c r="H3" s="280"/>
      <c r="I3" s="280"/>
      <c r="J3" s="280"/>
    </row>
    <row r="4" spans="1:10" x14ac:dyDescent="0.25">
      <c r="B4" s="280"/>
      <c r="C4" s="280"/>
      <c r="D4" s="280"/>
      <c r="E4" s="280"/>
      <c r="F4" s="280"/>
      <c r="G4" s="280"/>
      <c r="H4" s="280"/>
    </row>
    <row r="6" spans="1:10" ht="15.75" thickBot="1" x14ac:dyDescent="0.3"/>
    <row r="7" spans="1:10" x14ac:dyDescent="0.25">
      <c r="E7" s="278" t="s">
        <v>14</v>
      </c>
      <c r="F7" s="279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44743</v>
      </c>
      <c r="B9" s="199">
        <f>+'DIA 1'!G$50</f>
        <v>288.96637499999997</v>
      </c>
      <c r="C9" s="199">
        <f>+'DIA 1'!G$51</f>
        <v>479.57679999999999</v>
      </c>
      <c r="D9" s="199">
        <f>+'DIA 1'!G$55</f>
        <v>0</v>
      </c>
      <c r="E9" s="203">
        <f t="shared" ref="E9:E39" si="0">B9+D9</f>
        <v>288.96637499999997</v>
      </c>
      <c r="F9" s="204">
        <f>+'DIA 1'!K$50</f>
        <v>288.97000000000003</v>
      </c>
      <c r="G9" s="204">
        <f>+'DIA 1'!K$51</f>
        <v>479.58</v>
      </c>
      <c r="H9" s="205">
        <f>+'DIA 1'!K$55</f>
        <v>0</v>
      </c>
      <c r="I9" s="60">
        <f t="shared" ref="I9:I39" si="1">B9-F9</f>
        <v>-3.6250000000563887E-3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354.98747499999996</v>
      </c>
      <c r="C10" s="199">
        <f>'DIA 2'!G$51</f>
        <v>332.80195000000003</v>
      </c>
      <c r="D10" s="199">
        <f>'DIA 2'!G$55</f>
        <v>0</v>
      </c>
      <c r="E10" s="203">
        <f t="shared" si="0"/>
        <v>354.98747499999996</v>
      </c>
      <c r="F10" s="199">
        <f>'DIA 2'!K$50</f>
        <v>354.99</v>
      </c>
      <c r="G10" s="199">
        <f>'DIA 2'!K$51</f>
        <v>332.8</v>
      </c>
      <c r="H10" s="199">
        <f>'DIA 2'!K$55</f>
        <v>0</v>
      </c>
      <c r="I10" s="60">
        <f t="shared" si="1"/>
        <v>-2.5250000000482942E-3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247.90665000000001</v>
      </c>
      <c r="C11" s="199">
        <f>'DIA 3'!G$51</f>
        <v>356.8852</v>
      </c>
      <c r="D11" s="199">
        <f>'DIA 3'!G$55</f>
        <v>0</v>
      </c>
      <c r="E11" s="203">
        <f t="shared" si="0"/>
        <v>247.90665000000001</v>
      </c>
      <c r="F11" s="199">
        <f>'DIA 3'!K$50</f>
        <v>247.91</v>
      </c>
      <c r="G11" s="199">
        <f>'DIA 3'!K$51</f>
        <v>356.89</v>
      </c>
      <c r="H11" s="199">
        <f>'DIA 3'!K$55</f>
        <v>0</v>
      </c>
      <c r="I11" s="60">
        <f t="shared" si="1"/>
        <v>-3.3499999999833108E-3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166.46209999999999</v>
      </c>
      <c r="C12" s="199">
        <f>'DIA 4'!G$51</f>
        <v>340.6524</v>
      </c>
      <c r="D12" s="199">
        <f>'DIA 4'!G$55</f>
        <v>0</v>
      </c>
      <c r="E12" s="203">
        <f t="shared" si="0"/>
        <v>166.46209999999999</v>
      </c>
      <c r="F12" s="199">
        <f>'DIA 4'!K$50</f>
        <v>166.46</v>
      </c>
      <c r="G12" s="199">
        <f>'DIA 4'!K$51</f>
        <v>340.65</v>
      </c>
      <c r="H12" s="199">
        <f>'DIA 4'!K$55</f>
        <v>0</v>
      </c>
      <c r="I12" s="60">
        <f t="shared" si="1"/>
        <v>2.0999999999844476E-3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211.055125</v>
      </c>
      <c r="C13" s="199">
        <f>'DIA 5'!G$51</f>
        <v>423.78640000000001</v>
      </c>
      <c r="D13" s="199">
        <f>'DIA 5'!G$55</f>
        <v>0</v>
      </c>
      <c r="E13" s="203">
        <f t="shared" si="0"/>
        <v>211.055125</v>
      </c>
      <c r="F13" s="199">
        <f>'DIA 5'!K$50</f>
        <v>211.06</v>
      </c>
      <c r="G13" s="199">
        <f>'DIA 5'!K$51</f>
        <v>423.79</v>
      </c>
      <c r="H13" s="199">
        <f>'DIA 5'!K$55</f>
        <v>0</v>
      </c>
      <c r="I13" s="60">
        <f t="shared" si="1"/>
        <v>-4.8749999999984084E-3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136.8459</v>
      </c>
      <c r="C14" s="199">
        <f>'DIA 6'!G$51</f>
        <v>686.58440000000007</v>
      </c>
      <c r="D14" s="199">
        <f>'DIA 6'!G$55</f>
        <v>0</v>
      </c>
      <c r="E14" s="203">
        <f t="shared" si="0"/>
        <v>136.8459</v>
      </c>
      <c r="F14" s="199">
        <f>'DIA 6'!K$50</f>
        <v>136.85</v>
      </c>
      <c r="G14" s="199">
        <f>'DIA 6'!K$51</f>
        <v>686.58</v>
      </c>
      <c r="H14" s="199">
        <f>'DIA 6'!K$55</f>
        <v>0</v>
      </c>
      <c r="I14" s="60">
        <f t="shared" si="1"/>
        <v>-4.0999999999939973E-3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239.8674</v>
      </c>
      <c r="C15" s="199">
        <f>'DIA 7'!G$51</f>
        <v>957.62684999999999</v>
      </c>
      <c r="D15" s="199">
        <f>'DIA 7'!G$55</f>
        <v>0</v>
      </c>
      <c r="E15" s="203">
        <f t="shared" si="0"/>
        <v>239.8674</v>
      </c>
      <c r="F15" s="199">
        <f>'DIA 7'!K$50</f>
        <v>239.87</v>
      </c>
      <c r="G15" s="199">
        <f>'DIA 7'!K$51</f>
        <v>957.63</v>
      </c>
      <c r="H15" s="199">
        <f>'DIA 7'!K$55</f>
        <v>0</v>
      </c>
      <c r="I15" s="60">
        <f t="shared" si="1"/>
        <v>-2.6000000000010459E-3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514.14477499999998</v>
      </c>
      <c r="C16" s="199">
        <f>'DIA 8'!G$51</f>
        <v>563.43970000000002</v>
      </c>
      <c r="D16" s="199">
        <f>'DIA 8'!G$55</f>
        <v>0</v>
      </c>
      <c r="E16" s="203">
        <f t="shared" si="0"/>
        <v>514.14477499999998</v>
      </c>
      <c r="F16" s="199">
        <f>'DIA 8'!K$50</f>
        <v>514.14</v>
      </c>
      <c r="G16" s="199">
        <f>'DIA 8'!K$51</f>
        <v>563.44000000000005</v>
      </c>
      <c r="H16" s="199">
        <f>'DIA 8'!K$55</f>
        <v>0</v>
      </c>
      <c r="I16" s="60">
        <f t="shared" si="1"/>
        <v>4.7749999999950887E-3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570.44929999999999</v>
      </c>
      <c r="C17" s="199">
        <f>'DIA 9'!G$51</f>
        <v>495.76035000000007</v>
      </c>
      <c r="D17" s="199">
        <f>'DIA 9'!G$55</f>
        <v>0</v>
      </c>
      <c r="E17" s="203">
        <f t="shared" si="0"/>
        <v>570.44929999999999</v>
      </c>
      <c r="F17" s="199">
        <f>'DIA 9'!K$50</f>
        <v>570.45000000000005</v>
      </c>
      <c r="G17" s="199">
        <f>'DIA 9'!K$51</f>
        <v>495.76</v>
      </c>
      <c r="H17" s="199">
        <f>'DIA 9'!K$55</f>
        <v>0</v>
      </c>
      <c r="I17" s="60">
        <f t="shared" si="1"/>
        <v>-7.000000000516593E-4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55.540300000000009</v>
      </c>
      <c r="C18" s="199">
        <f>'DIA 10'!G$51</f>
        <v>269.39749999999998</v>
      </c>
      <c r="D18" s="199">
        <f>'DIA 10'!G$55</f>
        <v>0</v>
      </c>
      <c r="E18" s="203">
        <f t="shared" si="0"/>
        <v>55.540300000000009</v>
      </c>
      <c r="F18" s="199">
        <f>'DIA 10'!K$50</f>
        <v>55.54</v>
      </c>
      <c r="G18" s="199">
        <f>'DIA 10'!K$51</f>
        <v>269.39999999999998</v>
      </c>
      <c r="H18" s="199">
        <f>'DIA 10'!K$55</f>
        <v>0</v>
      </c>
      <c r="I18" s="60">
        <f t="shared" si="1"/>
        <v>3.0000000000995897E-4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389.466925</v>
      </c>
      <c r="C19" s="199">
        <f>'DIA 11'!G$51</f>
        <v>267.98894999999999</v>
      </c>
      <c r="D19" s="199">
        <f>'DIA 11'!G$55</f>
        <v>0</v>
      </c>
      <c r="E19" s="203">
        <f t="shared" si="0"/>
        <v>389.466925</v>
      </c>
      <c r="F19" s="199">
        <f>'DIA 11'!K$50</f>
        <v>389.47</v>
      </c>
      <c r="G19" s="199">
        <f>'DIA 11'!K$51</f>
        <v>267.99</v>
      </c>
      <c r="H19" s="199">
        <f>'DIA 11'!K$55</f>
        <v>0</v>
      </c>
      <c r="I19" s="60">
        <f t="shared" si="1"/>
        <v>-3.0750000000239197E-3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151.37610000000001</v>
      </c>
      <c r="C20" s="199">
        <f>'DIA 12'!G$51</f>
        <v>437.86205000000001</v>
      </c>
      <c r="D20" s="199">
        <f>'DIA 12'!G$55</f>
        <v>0</v>
      </c>
      <c r="E20" s="203">
        <f t="shared" si="0"/>
        <v>151.37610000000001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151.37610000000001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95.895350000000008</v>
      </c>
      <c r="C21" s="199">
        <f>'DIA 13'!G$51</f>
        <v>471.9135</v>
      </c>
      <c r="D21" s="199">
        <f>'DIA 13'!G$55</f>
        <v>0</v>
      </c>
      <c r="E21" s="203">
        <f t="shared" si="0"/>
        <v>95.895350000000008</v>
      </c>
      <c r="F21" s="199">
        <f>'DIA 13'!K$50</f>
        <v>95.9</v>
      </c>
      <c r="G21" s="199">
        <f>'DIA 13'!K$51</f>
        <v>471.91</v>
      </c>
      <c r="H21" s="199">
        <f>'DIA 13'!K$55</f>
        <v>0</v>
      </c>
      <c r="I21" s="60">
        <f t="shared" si="1"/>
        <v>-4.6499999999980446E-3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153.02365</v>
      </c>
      <c r="C22" s="199">
        <f>'DIA 14'!G$51</f>
        <v>351.99959999999999</v>
      </c>
      <c r="D22" s="199">
        <f>'DIA 14'!G$55</f>
        <v>0</v>
      </c>
      <c r="E22" s="203">
        <f t="shared" si="0"/>
        <v>153.02365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153.02365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142.92992500000003</v>
      </c>
      <c r="C23" s="199">
        <f>'DIA 15'!G$51</f>
        <v>155.7088</v>
      </c>
      <c r="D23" s="199">
        <f>'DIA 15'!G$55</f>
        <v>0</v>
      </c>
      <c r="E23" s="203">
        <f t="shared" si="0"/>
        <v>142.92992500000003</v>
      </c>
      <c r="F23" s="199">
        <f>'DIA 15'!K$50</f>
        <v>142.93</v>
      </c>
      <c r="G23" s="199">
        <f>'DIA 15'!K$51</f>
        <v>155.71</v>
      </c>
      <c r="H23" s="199">
        <f>'DIA 15'!K$55</f>
        <v>0</v>
      </c>
      <c r="I23" s="60">
        <f t="shared" si="1"/>
        <v>-7.499999998117346E-5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46.409299999999995</v>
      </c>
      <c r="C24" s="199">
        <f>'DIA 16'!G$51</f>
        <v>119.28349999999999</v>
      </c>
      <c r="D24" s="199">
        <f>'DIA 16'!G$55</f>
        <v>0</v>
      </c>
      <c r="E24" s="203">
        <f t="shared" si="0"/>
        <v>46.409299999999995</v>
      </c>
      <c r="F24" s="199">
        <f>'DIA 16'!K$50</f>
        <v>46.41</v>
      </c>
      <c r="G24" s="199">
        <f>'DIA 16'!K$51</f>
        <v>119.28</v>
      </c>
      <c r="H24" s="199">
        <f>'DIA 16'!K$55</f>
        <v>0</v>
      </c>
      <c r="I24" s="60">
        <f t="shared" si="1"/>
        <v>-7.0000000000192131E-4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120.36047500000001</v>
      </c>
      <c r="C25" s="199">
        <f>'DIA 17'!G$51</f>
        <v>106.15344999999999</v>
      </c>
      <c r="D25" s="199">
        <f>'DIA 17'!G$55</f>
        <v>0</v>
      </c>
      <c r="E25" s="203">
        <f t="shared" si="0"/>
        <v>120.36047500000001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120.36047500000001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100.37152500000001</v>
      </c>
      <c r="C26" s="199">
        <f>'DIA 18'!G$51</f>
        <v>251.99255000000002</v>
      </c>
      <c r="D26" s="199">
        <f>'DIA 18'!G$55</f>
        <v>0</v>
      </c>
      <c r="E26" s="203">
        <f t="shared" si="0"/>
        <v>100.37152500000001</v>
      </c>
      <c r="F26" s="199">
        <f>'DIA 18'!K$50</f>
        <v>100.37</v>
      </c>
      <c r="G26" s="199">
        <f>'DIA 18'!K$51</f>
        <v>251.99</v>
      </c>
      <c r="H26" s="199">
        <f>'DIA 18'!K$55</f>
        <v>0</v>
      </c>
      <c r="I26" s="60">
        <f t="shared" si="1"/>
        <v>1.5250000000008868E-3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102.21757499999998</v>
      </c>
      <c r="C27" s="199">
        <f>'DIA 19'!G$51</f>
        <v>120.2488</v>
      </c>
      <c r="D27" s="199">
        <f>'DIA 19'!G$55</f>
        <v>0</v>
      </c>
      <c r="E27" s="203">
        <f t="shared" si="0"/>
        <v>102.21757499999998</v>
      </c>
      <c r="F27" s="199">
        <f>'DIA 19'!K$50</f>
        <v>102.22</v>
      </c>
      <c r="G27" s="199">
        <f>'DIA 19'!K$51</f>
        <v>120.25</v>
      </c>
      <c r="H27" s="199">
        <f>'DIA 19'!K$55</f>
        <v>0</v>
      </c>
      <c r="I27" s="60">
        <f t="shared" si="1"/>
        <v>-2.4250000000165528E-3</v>
      </c>
      <c r="J27" s="60">
        <f t="shared" si="2"/>
        <v>0</v>
      </c>
    </row>
    <row r="28" spans="1:10" x14ac:dyDescent="0.25">
      <c r="A28" s="46">
        <f>'DIA 20'!B$6</f>
        <v>44732</v>
      </c>
      <c r="B28" s="199">
        <f>'DIA 20'!G$50</f>
        <v>61.922075</v>
      </c>
      <c r="C28" s="199">
        <f>'DIA 20'!G$51</f>
        <v>134.62980000000002</v>
      </c>
      <c r="D28" s="199">
        <f>'DIA 20'!G$55</f>
        <v>0</v>
      </c>
      <c r="E28" s="203">
        <f t="shared" si="0"/>
        <v>61.922075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61.922075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233.58487499999998</v>
      </c>
      <c r="C29" s="199">
        <f>'DIA 21'!G$51</f>
        <v>154.73364999999998</v>
      </c>
      <c r="D29" s="199">
        <f>'DIA 21'!G$55</f>
        <v>0</v>
      </c>
      <c r="E29" s="203">
        <f t="shared" si="0"/>
        <v>233.58487499999998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233.58487499999998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200.21702500000001</v>
      </c>
      <c r="C30" s="199">
        <f>'DIA 22'!G$51</f>
        <v>31.047199999999997</v>
      </c>
      <c r="D30" s="199">
        <f>'DIA 22'!G$55</f>
        <v>0</v>
      </c>
      <c r="E30" s="203">
        <f t="shared" si="0"/>
        <v>200.21702500000001</v>
      </c>
      <c r="F30" s="199">
        <f>'DIA 22'!K$50</f>
        <v>200.22</v>
      </c>
      <c r="G30" s="199">
        <f>'DIA 22'!K$51</f>
        <v>31.05</v>
      </c>
      <c r="H30" s="199">
        <f>'DIA 22'!K$55</f>
        <v>0</v>
      </c>
      <c r="I30" s="60">
        <f t="shared" si="1"/>
        <v>-2.9749999999921783E-3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458.84267499999999</v>
      </c>
      <c r="C31" s="199">
        <f>'DIA 23'!G$51</f>
        <v>235.8878</v>
      </c>
      <c r="D31" s="199">
        <f>'DIA 23'!G$55</f>
        <v>0</v>
      </c>
      <c r="E31" s="203">
        <f t="shared" si="0"/>
        <v>458.84267499999999</v>
      </c>
      <c r="F31" s="199">
        <f>'DIA 23'!K$50</f>
        <v>457.11</v>
      </c>
      <c r="G31" s="199">
        <f>'DIA 23'!K$51</f>
        <v>231.96</v>
      </c>
      <c r="H31" s="199">
        <f>'DIA 23'!K$55</f>
        <v>0</v>
      </c>
      <c r="I31" s="60">
        <f t="shared" si="1"/>
        <v>1.732674999999972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195.64159999999998</v>
      </c>
      <c r="C32" s="199">
        <f>'DIA 24'!G$51</f>
        <v>91.260249999999999</v>
      </c>
      <c r="D32" s="199">
        <f>'DIA 24'!G$55</f>
        <v>0</v>
      </c>
      <c r="E32" s="203">
        <f t="shared" si="0"/>
        <v>195.64159999999998</v>
      </c>
      <c r="F32" s="199">
        <f>'DIA 24'!K$50</f>
        <v>195.64</v>
      </c>
      <c r="G32" s="199">
        <f>'DIA 24'!K$51</f>
        <v>91.26</v>
      </c>
      <c r="H32" s="199">
        <f>'DIA 24'!K$55</f>
        <v>0</v>
      </c>
      <c r="I32" s="60">
        <f t="shared" si="1"/>
        <v>1.5999999999962711E-3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335.197025</v>
      </c>
      <c r="C33" s="199">
        <f>'DIA 25'!G$51</f>
        <v>322.21320000000003</v>
      </c>
      <c r="D33" s="199">
        <f>'DIA 25'!G$55</f>
        <v>0</v>
      </c>
      <c r="E33" s="203">
        <f t="shared" si="0"/>
        <v>335.197025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335.197025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147.832875</v>
      </c>
      <c r="C34" s="199">
        <f>'DIA 26'!G$51</f>
        <v>537.68195000000003</v>
      </c>
      <c r="D34" s="199">
        <f>'DIA 26'!G$55</f>
        <v>0</v>
      </c>
      <c r="E34" s="203">
        <f t="shared" si="0"/>
        <v>147.832875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147.832875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407.66937500000006</v>
      </c>
      <c r="C35" s="199">
        <f>'DIA 27'!G$51</f>
        <v>738.27719999999999</v>
      </c>
      <c r="D35" s="199">
        <f>'DIA 27'!G$55</f>
        <v>0</v>
      </c>
      <c r="E35" s="203">
        <f t="shared" si="0"/>
        <v>407.66937500000006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407.66937500000006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419.59922499999999</v>
      </c>
      <c r="C36" s="199">
        <f>'DIA 28'!G$51</f>
        <v>537.30764999999997</v>
      </c>
      <c r="D36" s="199">
        <f>'DIA 28'!G$55</f>
        <v>0</v>
      </c>
      <c r="E36" s="203">
        <f t="shared" si="0"/>
        <v>419.59922499999999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419.59922499999999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675.59475000000009</v>
      </c>
      <c r="C37" s="199">
        <f>'DIA 29'!G$51</f>
        <v>187.45535000000001</v>
      </c>
      <c r="D37" s="199">
        <f>'DIA 29'!G$55</f>
        <v>0</v>
      </c>
      <c r="E37" s="203">
        <f t="shared" si="0"/>
        <v>675.59475000000009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675.59475000000009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461.760625</v>
      </c>
      <c r="C38" s="199">
        <f>'DIA 30'!G$51</f>
        <v>252.5343</v>
      </c>
      <c r="D38" s="199">
        <f>'DIA 30'!G$55</f>
        <v>0</v>
      </c>
      <c r="E38" s="203">
        <f t="shared" si="0"/>
        <v>461.760625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461.760625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382.07279999999997</v>
      </c>
      <c r="C39" s="199">
        <f>'DIA 31'!G$51</f>
        <v>95.357849999999999</v>
      </c>
      <c r="D39" s="199">
        <f>'DIA 31'!G$55</f>
        <v>0</v>
      </c>
      <c r="E39" s="203">
        <f t="shared" si="0"/>
        <v>382.07279999999997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382.07279999999997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8068.211150000001</v>
      </c>
      <c r="C40" s="133">
        <f>SUM(C9:C39)</f>
        <v>10508.048950000002</v>
      </c>
      <c r="D40" s="133">
        <f>SUM(D9:D38)</f>
        <v>0</v>
      </c>
      <c r="E40" s="133">
        <f>SUM(E9:E39)</f>
        <v>8068.211150000001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8" zoomScale="90" zoomScaleNormal="90" workbookViewId="0">
      <selection activeCell="E43" sqref="E43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7"/>
      <c r="B1" s="281" t="s">
        <v>12</v>
      </c>
      <c r="C1" s="282"/>
      <c r="D1" s="282"/>
      <c r="E1" s="282"/>
      <c r="F1" s="282"/>
      <c r="G1" s="282"/>
      <c r="H1" s="282"/>
      <c r="I1" s="283"/>
    </row>
    <row r="2" spans="1:9" s="84" customFormat="1" ht="16.5" customHeight="1" x14ac:dyDescent="0.25">
      <c r="A2" s="277"/>
      <c r="B2" s="284" t="s">
        <v>153</v>
      </c>
      <c r="C2" s="285"/>
      <c r="D2" s="285"/>
      <c r="E2" s="285"/>
      <c r="F2" s="285"/>
      <c r="G2" s="285"/>
      <c r="H2" s="285"/>
      <c r="I2" s="286"/>
    </row>
    <row r="3" spans="1:9" s="84" customFormat="1" ht="16.5" customHeight="1" x14ac:dyDescent="0.25">
      <c r="A3" s="277"/>
      <c r="B3" s="280"/>
      <c r="C3" s="280"/>
      <c r="D3" s="280"/>
      <c r="E3" s="280"/>
      <c r="F3" s="280"/>
      <c r="G3" s="280"/>
      <c r="H3" s="280"/>
      <c r="I3" s="280"/>
    </row>
    <row r="4" spans="1:9" x14ac:dyDescent="0.25">
      <c r="B4" s="280"/>
      <c r="C4" s="280"/>
      <c r="D4" s="280"/>
      <c r="E4" s="280"/>
      <c r="F4" s="280"/>
      <c r="G4" s="280"/>
    </row>
    <row r="6" spans="1:9" ht="15.75" thickBot="1" x14ac:dyDescent="0.3"/>
    <row r="7" spans="1:9" x14ac:dyDescent="0.25">
      <c r="E7" s="278" t="s">
        <v>14</v>
      </c>
      <c r="F7" s="279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opLeftCell="A7" zoomScale="90" zoomScaleNormal="90" workbookViewId="0">
      <selection activeCell="A7" sqref="A7:D40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7"/>
      <c r="B1" s="281" t="s">
        <v>12</v>
      </c>
      <c r="C1" s="282"/>
      <c r="D1" s="282"/>
      <c r="E1" s="282"/>
      <c r="F1" s="282"/>
      <c r="G1" s="282"/>
      <c r="H1" s="282"/>
      <c r="I1" s="283"/>
    </row>
    <row r="2" spans="1:9" s="84" customFormat="1" ht="16.5" customHeight="1" x14ac:dyDescent="0.25">
      <c r="A2" s="277"/>
      <c r="B2" s="284" t="s">
        <v>198</v>
      </c>
      <c r="C2" s="285"/>
      <c r="D2" s="285"/>
      <c r="E2" s="285"/>
      <c r="F2" s="285"/>
      <c r="G2" s="285"/>
      <c r="H2" s="285"/>
      <c r="I2" s="286"/>
    </row>
    <row r="3" spans="1:9" s="84" customFormat="1" ht="16.5" customHeight="1" x14ac:dyDescent="0.25">
      <c r="A3" s="277"/>
      <c r="B3" s="280"/>
      <c r="C3" s="280"/>
      <c r="D3" s="280"/>
      <c r="E3" s="280"/>
      <c r="F3" s="280"/>
      <c r="G3" s="280"/>
      <c r="H3" s="280"/>
      <c r="I3" s="280"/>
    </row>
    <row r="4" spans="1:9" x14ac:dyDescent="0.25">
      <c r="B4" s="280"/>
      <c r="C4" s="280"/>
      <c r="D4" s="280"/>
      <c r="E4" s="280"/>
      <c r="F4" s="280"/>
      <c r="G4" s="280"/>
    </row>
    <row r="6" spans="1:9" ht="15.75" thickBot="1" x14ac:dyDescent="0.3"/>
    <row r="7" spans="1:9" x14ac:dyDescent="0.25">
      <c r="E7" s="278" t="s">
        <v>14</v>
      </c>
      <c r="F7" s="279"/>
    </row>
    <row r="8" spans="1:9" ht="27" customHeight="1" x14ac:dyDescent="0.25">
      <c r="A8" s="45" t="s">
        <v>33</v>
      </c>
      <c r="B8" s="45" t="s">
        <v>173</v>
      </c>
      <c r="C8" s="45" t="s">
        <v>199</v>
      </c>
      <c r="D8" s="52" t="s">
        <v>27</v>
      </c>
      <c r="E8" s="49" t="s">
        <v>7</v>
      </c>
      <c r="F8" s="50" t="s">
        <v>156</v>
      </c>
      <c r="G8" s="51" t="s">
        <v>53</v>
      </c>
      <c r="H8" s="51" t="s">
        <v>54</v>
      </c>
    </row>
    <row r="9" spans="1:9" x14ac:dyDescent="0.25">
      <c r="A9" s="46">
        <f>'DIA 1'!B$6</f>
        <v>44743</v>
      </c>
      <c r="B9" s="199">
        <f>+'DIA 1'!G$49</f>
        <v>6665.6697000000004</v>
      </c>
      <c r="C9" s="199">
        <f>+'DIA 1'!G$56</f>
        <v>400.31480172413796</v>
      </c>
      <c r="D9" s="203">
        <f>B9+C9</f>
        <v>7065.9845017241387</v>
      </c>
      <c r="E9" s="204">
        <f>+'DIA 1'!K$49</f>
        <v>6665.67</v>
      </c>
      <c r="F9" s="205">
        <f>+'DIA 1'!K$56</f>
        <v>0</v>
      </c>
      <c r="G9" s="206">
        <f>B9-E9</f>
        <v>-2.9999999969732016E-4</v>
      </c>
      <c r="H9" s="206">
        <f>C9-F9</f>
        <v>400.31480172413796</v>
      </c>
    </row>
    <row r="10" spans="1:9" x14ac:dyDescent="0.25">
      <c r="A10" s="46">
        <f>'DIA 2'!B$6</f>
        <v>44744</v>
      </c>
      <c r="B10" s="199">
        <f>'DIA 2'!G$49</f>
        <v>6110.8919749999995</v>
      </c>
      <c r="C10" s="199">
        <f>'DIA 2'!G$56</f>
        <v>54.0034051724138</v>
      </c>
      <c r="D10" s="203">
        <f t="shared" ref="D10:D39" si="0">B10+C10</f>
        <v>6164.8953801724138</v>
      </c>
      <c r="E10" s="199">
        <f>'DIA 2'!K$49</f>
        <v>0</v>
      </c>
      <c r="F10" s="199">
        <f>'DIA 2'!K$56</f>
        <v>0</v>
      </c>
      <c r="G10" s="206">
        <f t="shared" ref="G10:H39" si="1">B10-E10</f>
        <v>6110.8919749999995</v>
      </c>
      <c r="H10" s="206">
        <f t="shared" si="1"/>
        <v>54.0034051724138</v>
      </c>
    </row>
    <row r="11" spans="1:9" x14ac:dyDescent="0.25">
      <c r="A11" s="46">
        <f>'DIA 3'!B$6</f>
        <v>44745</v>
      </c>
      <c r="B11" s="199">
        <f>'DIA 3'!G$49</f>
        <v>4765.9453000000003</v>
      </c>
      <c r="C11" s="199">
        <f>'DIA 3'!G$56</f>
        <v>66.509456896551725</v>
      </c>
      <c r="D11" s="203">
        <f t="shared" si="0"/>
        <v>4832.4547568965518</v>
      </c>
      <c r="E11" s="199">
        <f>'DIA 3'!K$49</f>
        <v>0</v>
      </c>
      <c r="F11" s="199">
        <f>'DIA 3'!K$56</f>
        <v>0</v>
      </c>
      <c r="G11" s="206">
        <f t="shared" si="1"/>
        <v>4765.9453000000003</v>
      </c>
      <c r="H11" s="206">
        <f t="shared" si="1"/>
        <v>66.509456896551725</v>
      </c>
    </row>
    <row r="12" spans="1:9" x14ac:dyDescent="0.25">
      <c r="A12" s="46">
        <f>'DIA 4'!B$6</f>
        <v>44746</v>
      </c>
      <c r="B12" s="199">
        <f>'DIA 4'!G$49</f>
        <v>4477.3163749999994</v>
      </c>
      <c r="C12" s="199">
        <f>'DIA 4'!G$56</f>
        <v>83.469974137931032</v>
      </c>
      <c r="D12" s="203">
        <f t="shared" si="0"/>
        <v>4560.7863491379303</v>
      </c>
      <c r="E12" s="199">
        <f>'DIA 4'!K$49</f>
        <v>4477.32</v>
      </c>
      <c r="F12" s="199">
        <f>'DIA 4'!K$56</f>
        <v>83.47</v>
      </c>
      <c r="G12" s="206">
        <f t="shared" si="1"/>
        <v>-3.6250000002837623E-3</v>
      </c>
      <c r="H12" s="206">
        <f t="shared" si="1"/>
        <v>-2.5862068966375773E-5</v>
      </c>
    </row>
    <row r="13" spans="1:9" x14ac:dyDescent="0.25">
      <c r="A13" s="46">
        <f>'DIA 5'!B$6</f>
        <v>44747</v>
      </c>
      <c r="B13" s="199">
        <f>'DIA 5'!G$49</f>
        <v>3405.6049499999999</v>
      </c>
      <c r="C13" s="199">
        <f>'DIA 5'!G$56</f>
        <v>115.14513793103447</v>
      </c>
      <c r="D13" s="203">
        <f t="shared" si="0"/>
        <v>3520.7500879310346</v>
      </c>
      <c r="E13" s="199">
        <f>'DIA 5'!K$49</f>
        <v>3405.6</v>
      </c>
      <c r="F13" s="199">
        <f>'DIA 5'!K$56</f>
        <v>115.15</v>
      </c>
      <c r="G13" s="206">
        <f t="shared" si="1"/>
        <v>4.9500000000080036E-3</v>
      </c>
      <c r="H13" s="206">
        <f t="shared" si="1"/>
        <v>-4.8620689655365368E-3</v>
      </c>
    </row>
    <row r="14" spans="1:9" x14ac:dyDescent="0.25">
      <c r="A14" s="46">
        <f>'DIA 6'!B$6</f>
        <v>44748</v>
      </c>
      <c r="B14" s="199">
        <f>'DIA 6'!G$49</f>
        <v>4026.7511500000001</v>
      </c>
      <c r="C14" s="199">
        <f>'DIA 6'!G$56</f>
        <v>146.69915517241381</v>
      </c>
      <c r="D14" s="203">
        <f t="shared" si="0"/>
        <v>4173.4503051724141</v>
      </c>
      <c r="E14" s="199">
        <f>'DIA 6'!K$49</f>
        <v>0</v>
      </c>
      <c r="F14" s="199">
        <f>'DIA 6'!K$56</f>
        <v>0</v>
      </c>
      <c r="G14" s="206">
        <f t="shared" si="1"/>
        <v>4026.7511500000001</v>
      </c>
      <c r="H14" s="206">
        <f t="shared" si="1"/>
        <v>146.69915517241381</v>
      </c>
    </row>
    <row r="15" spans="1:9" x14ac:dyDescent="0.25">
      <c r="A15" s="46">
        <f>'DIA 7'!B$6</f>
        <v>44749</v>
      </c>
      <c r="B15" s="199">
        <f>'DIA 7'!G$49</f>
        <v>4417.4785500000007</v>
      </c>
      <c r="C15" s="199">
        <f>'DIA 7'!G$56</f>
        <v>181.30979310344827</v>
      </c>
      <c r="D15" s="203">
        <f t="shared" si="0"/>
        <v>4598.7883431034488</v>
      </c>
      <c r="E15" s="199">
        <f>'DIA 7'!K$49</f>
        <v>4417.4799999999996</v>
      </c>
      <c r="F15" s="199">
        <f>'DIA 7'!K$56</f>
        <v>181.31</v>
      </c>
      <c r="G15" s="206">
        <f t="shared" si="1"/>
        <v>-1.4499999988402124E-3</v>
      </c>
      <c r="H15" s="206">
        <f t="shared" si="1"/>
        <v>-2.0689655173100618E-4</v>
      </c>
    </row>
    <row r="16" spans="1:9" x14ac:dyDescent="0.25">
      <c r="A16" s="46">
        <f>'DIA 8'!B$6</f>
        <v>44750</v>
      </c>
      <c r="B16" s="199">
        <f>'DIA 8'!G$49</f>
        <v>5728.7397750000009</v>
      </c>
      <c r="C16" s="199">
        <f>'DIA 8'!G$56</f>
        <v>184.03093103448276</v>
      </c>
      <c r="D16" s="203">
        <f t="shared" si="0"/>
        <v>5912.7707060344837</v>
      </c>
      <c r="E16" s="199">
        <f>'DIA 8'!K$49</f>
        <v>5728.74</v>
      </c>
      <c r="F16" s="199">
        <f>'DIA 8'!K$56</f>
        <v>0</v>
      </c>
      <c r="G16" s="206">
        <f t="shared" si="1"/>
        <v>-2.2499999886349542E-4</v>
      </c>
      <c r="H16" s="206">
        <f t="shared" si="1"/>
        <v>184.03093103448276</v>
      </c>
    </row>
    <row r="17" spans="1:8" x14ac:dyDescent="0.25">
      <c r="A17" s="46">
        <f>'DIA 9'!B$6</f>
        <v>44751</v>
      </c>
      <c r="B17" s="199">
        <f>'DIA 9'!G$49</f>
        <v>6530.1636749999998</v>
      </c>
      <c r="C17" s="199">
        <f>'DIA 9'!G$56</f>
        <v>185.24239655172414</v>
      </c>
      <c r="D17" s="203">
        <f t="shared" si="0"/>
        <v>6715.4060715517244</v>
      </c>
      <c r="E17" s="199">
        <f>'DIA 9'!K$49</f>
        <v>6530.16</v>
      </c>
      <c r="F17" s="199">
        <f>'DIA 9'!K$56</f>
        <v>185.24</v>
      </c>
      <c r="G17" s="206">
        <f t="shared" si="1"/>
        <v>3.6749999999301508E-3</v>
      </c>
      <c r="H17" s="206">
        <f t="shared" si="1"/>
        <v>2.3965517241322232E-3</v>
      </c>
    </row>
    <row r="18" spans="1:8" x14ac:dyDescent="0.25">
      <c r="A18" s="46">
        <f>'DIA 10'!B$6</f>
        <v>44752</v>
      </c>
      <c r="B18" s="199">
        <f>'DIA 10'!G$49</f>
        <v>4824.6615999999995</v>
      </c>
      <c r="C18" s="199">
        <f>'DIA 10'!G$56</f>
        <v>42.093767241379311</v>
      </c>
      <c r="D18" s="203">
        <f t="shared" si="0"/>
        <v>4866.7553672413787</v>
      </c>
      <c r="E18" s="199">
        <f>'DIA 10'!K$49</f>
        <v>4824.66</v>
      </c>
      <c r="F18" s="199">
        <f>'DIA 10'!K$56</f>
        <v>42.09</v>
      </c>
      <c r="G18" s="206">
        <f t="shared" si="1"/>
        <v>1.5999999995983671E-3</v>
      </c>
      <c r="H18" s="206">
        <f t="shared" si="1"/>
        <v>3.7672413793075066E-3</v>
      </c>
    </row>
    <row r="19" spans="1:8" x14ac:dyDescent="0.25">
      <c r="A19" s="46">
        <f>'DIA 11'!B$6</f>
        <v>44753</v>
      </c>
      <c r="B19" s="199">
        <f>'DIA 11'!G$49</f>
        <v>5336.1861749999998</v>
      </c>
      <c r="C19" s="199">
        <f>'DIA 11'!G$56</f>
        <v>34.004905172413785</v>
      </c>
      <c r="D19" s="203">
        <f t="shared" si="0"/>
        <v>5370.1910801724134</v>
      </c>
      <c r="E19" s="199">
        <f>'DIA 11'!K$49</f>
        <v>5336.19</v>
      </c>
      <c r="F19" s="199">
        <f>'DIA 11'!K$56</f>
        <v>34</v>
      </c>
      <c r="G19" s="206">
        <f t="shared" si="1"/>
        <v>-3.8249999997788109E-3</v>
      </c>
      <c r="H19" s="206">
        <f t="shared" si="1"/>
        <v>4.905172413785408E-3</v>
      </c>
    </row>
    <row r="20" spans="1:8" x14ac:dyDescent="0.25">
      <c r="A20" s="46">
        <f>'DIA 12'!B$6</f>
        <v>44754</v>
      </c>
      <c r="B20" s="199">
        <f>'DIA 12'!G$49</f>
        <v>3960.2338</v>
      </c>
      <c r="C20" s="199">
        <f>'DIA 12'!G$56</f>
        <v>37.136077586206895</v>
      </c>
      <c r="D20" s="203">
        <f t="shared" si="0"/>
        <v>3997.3698775862067</v>
      </c>
      <c r="E20" s="199">
        <f>'DIA 12'!K$49</f>
        <v>3960.23</v>
      </c>
      <c r="F20" s="199">
        <f>'DIA 12'!K$56</f>
        <v>37.14</v>
      </c>
      <c r="G20" s="206">
        <f t="shared" si="1"/>
        <v>3.7999999999556167E-3</v>
      </c>
      <c r="H20" s="206">
        <f t="shared" si="1"/>
        <v>-3.9224137931057612E-3</v>
      </c>
    </row>
    <row r="21" spans="1:8" x14ac:dyDescent="0.25">
      <c r="A21" s="46">
        <f>'DIA 13'!B$6</f>
        <v>44755</v>
      </c>
      <c r="B21" s="199">
        <f>'DIA 13'!G$49</f>
        <v>4025.6494750000002</v>
      </c>
      <c r="C21" s="199">
        <f>'DIA 13'!G$56</f>
        <v>10.81931896551724</v>
      </c>
      <c r="D21" s="203">
        <f t="shared" si="0"/>
        <v>4036.4687939655173</v>
      </c>
      <c r="E21" s="199">
        <f>'DIA 13'!K$49</f>
        <v>4025.65</v>
      </c>
      <c r="F21" s="199">
        <f>'DIA 13'!K$56</f>
        <v>10.82</v>
      </c>
      <c r="G21" s="206">
        <f t="shared" si="1"/>
        <v>-5.2499999992505764E-4</v>
      </c>
      <c r="H21" s="206">
        <f t="shared" si="1"/>
        <v>-6.8103448275991241E-4</v>
      </c>
    </row>
    <row r="22" spans="1:8" x14ac:dyDescent="0.25">
      <c r="A22" s="46">
        <f>'DIA 14'!B$6</f>
        <v>44756</v>
      </c>
      <c r="B22" s="199">
        <f>'DIA 14'!G$49</f>
        <v>6140.0615499999994</v>
      </c>
      <c r="C22" s="199">
        <f>'DIA 14'!G$56</f>
        <v>206.48963793103445</v>
      </c>
      <c r="D22" s="203">
        <f t="shared" si="0"/>
        <v>6346.5511879310343</v>
      </c>
      <c r="E22" s="199">
        <f>'DIA 14'!K$49</f>
        <v>6140.06</v>
      </c>
      <c r="F22" s="199">
        <f>'DIA 14'!K$56</f>
        <v>206.49</v>
      </c>
      <c r="G22" s="206">
        <f t="shared" si="1"/>
        <v>1.549999999042484E-3</v>
      </c>
      <c r="H22" s="206">
        <f t="shared" si="1"/>
        <v>-3.6206896555768253E-4</v>
      </c>
    </row>
    <row r="23" spans="1:8" x14ac:dyDescent="0.25">
      <c r="A23" s="46">
        <f>'DIA 15'!B$6</f>
        <v>44757</v>
      </c>
      <c r="B23" s="199">
        <f>'DIA 15'!G$49</f>
        <v>6715.4336499999999</v>
      </c>
      <c r="C23" s="199">
        <f>'DIA 15'!G$56</f>
        <v>326.83475862068963</v>
      </c>
      <c r="D23" s="203">
        <f t="shared" si="0"/>
        <v>7042.26840862069</v>
      </c>
      <c r="E23" s="199">
        <f>'DIA 15'!K$49</f>
        <v>6715.43</v>
      </c>
      <c r="F23" s="199">
        <f>'DIA 15'!K$56</f>
        <v>326.83</v>
      </c>
      <c r="G23" s="206">
        <f t="shared" si="1"/>
        <v>3.6499999996522092E-3</v>
      </c>
      <c r="H23" s="206">
        <f t="shared" si="1"/>
        <v>4.758620689642612E-3</v>
      </c>
    </row>
    <row r="24" spans="1:8" x14ac:dyDescent="0.25">
      <c r="A24" s="46">
        <f>'DIA 16'!B$6</f>
        <v>44758</v>
      </c>
      <c r="B24" s="199">
        <f>'DIA 16'!G$49</f>
        <v>5921.5626749999992</v>
      </c>
      <c r="C24" s="199">
        <f>'DIA 16'!G$56</f>
        <v>4.6222068965517247</v>
      </c>
      <c r="D24" s="203">
        <f t="shared" si="0"/>
        <v>5926.1848818965509</v>
      </c>
      <c r="E24" s="199">
        <f>'DIA 16'!K$49</f>
        <v>5921.56</v>
      </c>
      <c r="F24" s="199">
        <f>'DIA 16'!K$56</f>
        <v>4.62</v>
      </c>
      <c r="G24" s="206">
        <f t="shared" si="1"/>
        <v>2.6749999988169293E-3</v>
      </c>
      <c r="H24" s="206">
        <f t="shared" si="1"/>
        <v>2.2068965517245687E-3</v>
      </c>
    </row>
    <row r="25" spans="1:8" x14ac:dyDescent="0.25">
      <c r="A25" s="46">
        <f>'DIA 17'!B$6</f>
        <v>44759</v>
      </c>
      <c r="B25" s="199">
        <f>'DIA 17'!G$49</f>
        <v>6378.4898250000006</v>
      </c>
      <c r="C25" s="199">
        <f>'DIA 17'!G$56</f>
        <v>63.191905172413797</v>
      </c>
      <c r="D25" s="203">
        <f t="shared" si="0"/>
        <v>6441.6817301724141</v>
      </c>
      <c r="E25" s="199">
        <f>'DIA 17'!K$49</f>
        <v>6378.49</v>
      </c>
      <c r="F25" s="199">
        <f>'DIA 17'!K$56</f>
        <v>63.19</v>
      </c>
      <c r="G25" s="206">
        <f t="shared" si="1"/>
        <v>-1.7499999921710696E-4</v>
      </c>
      <c r="H25" s="206">
        <f t="shared" si="1"/>
        <v>1.9051724137995052E-3</v>
      </c>
    </row>
    <row r="26" spans="1:8" x14ac:dyDescent="0.25">
      <c r="A26" s="46">
        <f>'DIA 18'!B$6</f>
        <v>44760</v>
      </c>
      <c r="B26" s="199">
        <f>'DIA 18'!G$49</f>
        <v>4260.8521250000003</v>
      </c>
      <c r="C26" s="199">
        <f>'DIA 18'!G$56</f>
        <v>33.184836206896549</v>
      </c>
      <c r="D26" s="203">
        <f t="shared" si="0"/>
        <v>4294.0369612068971</v>
      </c>
      <c r="E26" s="199">
        <f>'DIA 18'!K$49</f>
        <v>0</v>
      </c>
      <c r="F26" s="199">
        <f>'DIA 18'!K$56</f>
        <v>0</v>
      </c>
      <c r="G26" s="206">
        <f t="shared" si="1"/>
        <v>4260.8521250000003</v>
      </c>
      <c r="H26" s="206">
        <f t="shared" si="1"/>
        <v>33.184836206896549</v>
      </c>
    </row>
    <row r="27" spans="1:8" x14ac:dyDescent="0.25">
      <c r="A27" s="46">
        <f>'DIA 19'!B$6</f>
        <v>44761</v>
      </c>
      <c r="B27" s="199">
        <f>'DIA 19'!G$49</f>
        <v>3627.7959249999999</v>
      </c>
      <c r="C27" s="199">
        <f>'DIA 19'!G$56</f>
        <v>0</v>
      </c>
      <c r="D27" s="203">
        <f t="shared" si="0"/>
        <v>3627.7959249999999</v>
      </c>
      <c r="E27" s="199">
        <f>'DIA 19'!K$49</f>
        <v>0</v>
      </c>
      <c r="F27" s="199">
        <f>'DIA 19'!K$56</f>
        <v>0</v>
      </c>
      <c r="G27" s="206">
        <f t="shared" si="1"/>
        <v>3627.7959249999999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20'!G$49</f>
        <v>3744.2062500000002</v>
      </c>
      <c r="C28" s="199">
        <f>'DIA 20'!G$56</f>
        <v>70.591163793103448</v>
      </c>
      <c r="D28" s="203">
        <f t="shared" si="0"/>
        <v>3814.7974137931037</v>
      </c>
      <c r="E28" s="199">
        <f>'DIA 20'!K$49</f>
        <v>0</v>
      </c>
      <c r="F28" s="199">
        <f>'DIA 20'!K$56</f>
        <v>0</v>
      </c>
      <c r="G28" s="206">
        <f t="shared" si="1"/>
        <v>3744.2062500000002</v>
      </c>
      <c r="H28" s="206">
        <f t="shared" si="1"/>
        <v>70.591163793103448</v>
      </c>
    </row>
    <row r="29" spans="1:8" x14ac:dyDescent="0.25">
      <c r="A29" s="46">
        <f>'DIA 21'!B$6</f>
        <v>44763</v>
      </c>
      <c r="B29" s="199">
        <f>'DIA 21'!G$49</f>
        <v>5907.151574999999</v>
      </c>
      <c r="C29" s="199">
        <f>'DIA 21'!G$56</f>
        <v>181.97143965517242</v>
      </c>
      <c r="D29" s="203">
        <f t="shared" si="0"/>
        <v>6089.1230146551716</v>
      </c>
      <c r="E29" s="199">
        <f>'DIA 21'!K$49</f>
        <v>0</v>
      </c>
      <c r="F29" s="199">
        <f>'DIA 21'!K$56</f>
        <v>0</v>
      </c>
      <c r="G29" s="206">
        <f t="shared" si="1"/>
        <v>5907.151574999999</v>
      </c>
      <c r="H29" s="206">
        <f t="shared" si="1"/>
        <v>181.97143965517242</v>
      </c>
    </row>
    <row r="30" spans="1:8" x14ac:dyDescent="0.25">
      <c r="A30" s="46">
        <f>'DIA 22'!B$6</f>
        <v>44764</v>
      </c>
      <c r="B30" s="199">
        <f>'DIA 22'!G$49</f>
        <v>6023.5916750000006</v>
      </c>
      <c r="C30" s="199">
        <f>'DIA 22'!G$56</f>
        <v>154.89984482758621</v>
      </c>
      <c r="D30" s="203">
        <f t="shared" si="0"/>
        <v>6178.4915198275867</v>
      </c>
      <c r="E30" s="199">
        <f>'DIA 22'!K$49</f>
        <v>0</v>
      </c>
      <c r="F30" s="199">
        <f>'DIA 22'!K$56</f>
        <v>0</v>
      </c>
      <c r="G30" s="206">
        <f t="shared" si="1"/>
        <v>6023.5916750000006</v>
      </c>
      <c r="H30" s="206">
        <f t="shared" si="1"/>
        <v>154.89984482758621</v>
      </c>
    </row>
    <row r="31" spans="1:8" x14ac:dyDescent="0.25">
      <c r="A31" s="46">
        <f>'DIA 23'!B$6</f>
        <v>44765</v>
      </c>
      <c r="B31" s="199">
        <f>'DIA 23'!G$49</f>
        <v>6046.6970749999991</v>
      </c>
      <c r="C31" s="199">
        <f>'DIA 23'!G$56</f>
        <v>225.99423275862068</v>
      </c>
      <c r="D31" s="203">
        <f t="shared" si="0"/>
        <v>6272.6913077586196</v>
      </c>
      <c r="E31" s="199">
        <f>'DIA 23'!K$49</f>
        <v>0</v>
      </c>
      <c r="F31" s="199">
        <f>'DIA 23'!K$56</f>
        <v>0</v>
      </c>
      <c r="G31" s="206">
        <f t="shared" si="1"/>
        <v>6046.6970749999991</v>
      </c>
      <c r="H31" s="206">
        <f t="shared" si="1"/>
        <v>225.99423275862068</v>
      </c>
    </row>
    <row r="32" spans="1:8" x14ac:dyDescent="0.25">
      <c r="A32" s="46">
        <f>'DIA 24'!B$6</f>
        <v>44766</v>
      </c>
      <c r="B32" s="199">
        <f>'DIA 24'!G$49</f>
        <v>6699.1268749999999</v>
      </c>
      <c r="C32" s="199">
        <f>'DIA 24'!G$56</f>
        <v>231.19421551724139</v>
      </c>
      <c r="D32" s="203">
        <f t="shared" si="0"/>
        <v>6930.3210905172409</v>
      </c>
      <c r="E32" s="199">
        <f>'DIA 24'!K$49</f>
        <v>0</v>
      </c>
      <c r="F32" s="199">
        <f>'DIA 24'!K$56</f>
        <v>0</v>
      </c>
      <c r="G32" s="206">
        <f t="shared" si="1"/>
        <v>6699.1268749999999</v>
      </c>
      <c r="H32" s="206">
        <f t="shared" si="1"/>
        <v>231.19421551724139</v>
      </c>
    </row>
    <row r="33" spans="1:8" x14ac:dyDescent="0.25">
      <c r="A33" s="46">
        <f>'DIA 25'!B$6</f>
        <v>44767</v>
      </c>
      <c r="B33" s="199">
        <f>'DIA 25'!G$49</f>
        <v>5720.9089499999991</v>
      </c>
      <c r="C33" s="199">
        <f>'DIA 25'!G$56</f>
        <v>98.762396551724152</v>
      </c>
      <c r="D33" s="203">
        <f t="shared" si="0"/>
        <v>5819.6713465517232</v>
      </c>
      <c r="E33" s="199">
        <f>'DIA 25'!K$49</f>
        <v>0</v>
      </c>
      <c r="F33" s="199">
        <f>'DIA 25'!K$56</f>
        <v>0</v>
      </c>
      <c r="G33" s="206">
        <f t="shared" si="1"/>
        <v>5720.9089499999991</v>
      </c>
      <c r="H33" s="206">
        <f t="shared" si="1"/>
        <v>98.762396551724152</v>
      </c>
    </row>
    <row r="34" spans="1:8" x14ac:dyDescent="0.25">
      <c r="A34" s="46">
        <f>'DIA 26'!B$6</f>
        <v>44768</v>
      </c>
      <c r="B34" s="199">
        <f>'DIA 26'!G$49</f>
        <v>6348.3674499999997</v>
      </c>
      <c r="C34" s="199">
        <f>'DIA 26'!G$56</f>
        <v>7.9583965517241371</v>
      </c>
      <c r="D34" s="203">
        <f t="shared" si="0"/>
        <v>6356.3258465517238</v>
      </c>
      <c r="E34" s="199">
        <f>'DIA 26'!K$49</f>
        <v>0</v>
      </c>
      <c r="F34" s="199">
        <f>'DIA 26'!K$56</f>
        <v>0</v>
      </c>
      <c r="G34" s="206">
        <f t="shared" si="1"/>
        <v>6348.3674499999997</v>
      </c>
      <c r="H34" s="206">
        <f t="shared" si="1"/>
        <v>7.9583965517241371</v>
      </c>
    </row>
    <row r="35" spans="1:8" x14ac:dyDescent="0.25">
      <c r="A35" s="46">
        <f>'DIA 27'!B$6</f>
        <v>44769</v>
      </c>
      <c r="B35" s="199">
        <f>'DIA 27'!G$49</f>
        <v>4093.6357249999996</v>
      </c>
      <c r="C35" s="199">
        <f>'DIA 27'!G$56</f>
        <v>59.771844827586207</v>
      </c>
      <c r="D35" s="203">
        <f t="shared" si="0"/>
        <v>4153.4075698275856</v>
      </c>
      <c r="E35" s="199">
        <f>'DIA 27'!K$49</f>
        <v>0</v>
      </c>
      <c r="F35" s="199">
        <f>'DIA 27'!K$56</f>
        <v>0</v>
      </c>
      <c r="G35" s="206">
        <f t="shared" si="1"/>
        <v>4093.6357249999996</v>
      </c>
      <c r="H35" s="206">
        <f t="shared" si="1"/>
        <v>59.771844827586207</v>
      </c>
    </row>
    <row r="36" spans="1:8" x14ac:dyDescent="0.25">
      <c r="A36" s="46">
        <f>'DIA 28'!B$6</f>
        <v>44770</v>
      </c>
      <c r="B36" s="199">
        <f>'DIA 28'!G$49</f>
        <v>3892.3865000000001</v>
      </c>
      <c r="C36" s="199">
        <f>'DIA 28'!G$56</f>
        <v>99.284258620689656</v>
      </c>
      <c r="D36" s="203">
        <f t="shared" si="0"/>
        <v>3991.6707586206899</v>
      </c>
      <c r="E36" s="199">
        <f>'DIA 28'!K$49</f>
        <v>0</v>
      </c>
      <c r="F36" s="199">
        <f>'DIA 28'!K$56</f>
        <v>0</v>
      </c>
      <c r="G36" s="206">
        <f t="shared" si="1"/>
        <v>3892.3865000000001</v>
      </c>
      <c r="H36" s="206">
        <f t="shared" si="1"/>
        <v>99.284258620689656</v>
      </c>
    </row>
    <row r="37" spans="1:8" x14ac:dyDescent="0.25">
      <c r="A37" s="46">
        <f>'DIA 29'!B$6</f>
        <v>44771</v>
      </c>
      <c r="B37" s="199">
        <f>'DIA 29'!G$49</f>
        <v>5371.5290999999997</v>
      </c>
      <c r="C37" s="199">
        <f>'DIA 29'!G$56</f>
        <v>0</v>
      </c>
      <c r="D37" s="203">
        <f t="shared" si="0"/>
        <v>5371.5290999999997</v>
      </c>
      <c r="E37" s="199">
        <f>'DIA 29'!K$49</f>
        <v>0</v>
      </c>
      <c r="F37" s="199">
        <f>'DIA 29'!K$56</f>
        <v>0</v>
      </c>
      <c r="G37" s="206">
        <f t="shared" si="1"/>
        <v>5371.5290999999997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30'!G$49</f>
        <v>5666.2420499999998</v>
      </c>
      <c r="C38" s="199">
        <f>'DIA 30'!G$56</f>
        <v>517.48215517241374</v>
      </c>
      <c r="D38" s="203">
        <f t="shared" si="0"/>
        <v>6183.7242051724133</v>
      </c>
      <c r="E38" s="199">
        <f>'DIA 30'!K$49</f>
        <v>0</v>
      </c>
      <c r="F38" s="199">
        <f>'DIA 30'!K$56</f>
        <v>0</v>
      </c>
      <c r="G38" s="206">
        <f t="shared" si="1"/>
        <v>5666.2420499999998</v>
      </c>
      <c r="H38" s="206">
        <f t="shared" si="1"/>
        <v>517.48215517241374</v>
      </c>
    </row>
    <row r="39" spans="1:8" x14ac:dyDescent="0.25">
      <c r="A39" s="46">
        <f>'DIA 31'!B$6</f>
        <v>44773</v>
      </c>
      <c r="B39" s="199">
        <f>'DIA 31'!G$49</f>
        <v>4673.3351249999996</v>
      </c>
      <c r="C39" s="199">
        <f>'DIA 31'!G$56</f>
        <v>11.220034482758619</v>
      </c>
      <c r="D39" s="203">
        <f t="shared" si="0"/>
        <v>4684.5551594827584</v>
      </c>
      <c r="E39" s="199">
        <f>'DIA 31'!K$49</f>
        <v>0</v>
      </c>
      <c r="F39" s="199">
        <f>'DIA 31'!K$56</f>
        <v>0</v>
      </c>
      <c r="G39" s="206">
        <f t="shared" si="1"/>
        <v>4673.3351249999996</v>
      </c>
      <c r="H39" s="206">
        <f t="shared" si="1"/>
        <v>11.220034482758619</v>
      </c>
    </row>
    <row r="40" spans="1:8" x14ac:dyDescent="0.25">
      <c r="A40" s="53" t="s">
        <v>38</v>
      </c>
      <c r="B40" s="133">
        <f>SUM(B9:B39)</f>
        <v>161506.66660000003</v>
      </c>
      <c r="C40" s="133">
        <f>SUM(C9:C38)</f>
        <v>3823.0124137931043</v>
      </c>
      <c r="D40" s="133">
        <f>SUM(D9:D38)</f>
        <v>160656.34388879311</v>
      </c>
    </row>
    <row r="47" spans="1:8" x14ac:dyDescent="0.25">
      <c r="B47" s="224">
        <v>3391.174</v>
      </c>
    </row>
    <row r="48" spans="1:8" x14ac:dyDescent="0.25">
      <c r="B48" s="224">
        <v>3449.2650250000002</v>
      </c>
    </row>
    <row r="49" spans="2:2" x14ac:dyDescent="0.25">
      <c r="B49" s="224">
        <v>4025.5303749999998</v>
      </c>
    </row>
    <row r="50" spans="2:2" x14ac:dyDescent="0.25">
      <c r="B50" s="224">
        <v>4523.2691250000007</v>
      </c>
    </row>
    <row r="51" spans="2:2" x14ac:dyDescent="0.25">
      <c r="B51" s="224">
        <v>3859.6240750000002</v>
      </c>
    </row>
    <row r="52" spans="2:2" x14ac:dyDescent="0.25">
      <c r="B52" s="224">
        <v>3599.4799000000003</v>
      </c>
    </row>
    <row r="53" spans="2:2" x14ac:dyDescent="0.25">
      <c r="B53" s="224">
        <v>3545.0115000000001</v>
      </c>
    </row>
    <row r="54" spans="2:2" x14ac:dyDescent="0.25">
      <c r="B54" s="224">
        <v>3288.2616750000002</v>
      </c>
    </row>
    <row r="55" spans="2:2" x14ac:dyDescent="0.25">
      <c r="B55" s="224">
        <v>4055.9703500000001</v>
      </c>
    </row>
    <row r="56" spans="2:2" x14ac:dyDescent="0.25">
      <c r="B56" s="224">
        <v>5332.4543750000003</v>
      </c>
    </row>
    <row r="57" spans="2:2" x14ac:dyDescent="0.25">
      <c r="B57" s="224">
        <v>4892.360025</v>
      </c>
    </row>
    <row r="58" spans="2:2" x14ac:dyDescent="0.25">
      <c r="B58" s="224">
        <v>4937.6577249999991</v>
      </c>
    </row>
    <row r="59" spans="2:2" x14ac:dyDescent="0.25">
      <c r="B59" s="224">
        <v>2484.7138249999998</v>
      </c>
    </row>
    <row r="60" spans="2:2" x14ac:dyDescent="0.25">
      <c r="B60" s="224">
        <v>4132.601275</v>
      </c>
    </row>
    <row r="61" spans="2:2" x14ac:dyDescent="0.25">
      <c r="B61" s="224">
        <v>5736.2530000000006</v>
      </c>
    </row>
    <row r="62" spans="2:2" x14ac:dyDescent="0.25">
      <c r="B62" s="224">
        <v>5004.5323749999998</v>
      </c>
    </row>
    <row r="63" spans="2:2" x14ac:dyDescent="0.25">
      <c r="B63" s="224">
        <v>4694.9220000000005</v>
      </c>
    </row>
    <row r="64" spans="2:2" x14ac:dyDescent="0.25">
      <c r="B64" s="224">
        <v>4280.8311499999991</v>
      </c>
    </row>
    <row r="65" spans="2:2" x14ac:dyDescent="0.25">
      <c r="B65" s="224">
        <v>4885.114775</v>
      </c>
    </row>
    <row r="66" spans="2:2" x14ac:dyDescent="0.25">
      <c r="B66" s="224">
        <v>2605.9278500000005</v>
      </c>
    </row>
    <row r="67" spans="2:2" x14ac:dyDescent="0.25">
      <c r="B67" s="224">
        <v>4632.8708999999999</v>
      </c>
    </row>
    <row r="68" spans="2:2" x14ac:dyDescent="0.25">
      <c r="B68" s="224">
        <v>4966.122625</v>
      </c>
    </row>
    <row r="69" spans="2:2" x14ac:dyDescent="0.25">
      <c r="B69" s="224">
        <v>5929.0163500000008</v>
      </c>
    </row>
    <row r="70" spans="2:2" x14ac:dyDescent="0.25">
      <c r="B70" s="224">
        <v>5064.4992249999996</v>
      </c>
    </row>
    <row r="71" spans="2:2" x14ac:dyDescent="0.25">
      <c r="B71" s="224">
        <v>5424.1018249999997</v>
      </c>
    </row>
    <row r="72" spans="2:2" x14ac:dyDescent="0.25">
      <c r="B72" s="224">
        <v>5223.9741250000006</v>
      </c>
    </row>
    <row r="73" spans="2:2" x14ac:dyDescent="0.25">
      <c r="B73" s="224">
        <v>3591.8674249999999</v>
      </c>
    </row>
    <row r="74" spans="2:2" x14ac:dyDescent="0.25">
      <c r="B74" s="224">
        <v>4291.7188749999996</v>
      </c>
    </row>
    <row r="75" spans="2:2" x14ac:dyDescent="0.25">
      <c r="B75" s="224">
        <v>5779.2381750000004</v>
      </c>
    </row>
    <row r="76" spans="2:2" x14ac:dyDescent="0.25">
      <c r="B76" s="224">
        <v>5923.706474999999</v>
      </c>
    </row>
    <row r="77" spans="2:2" x14ac:dyDescent="0.25">
      <c r="B77" s="224">
        <f>SUM(B47:B76)</f>
        <v>133552.07040000003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4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7"/>
      <c r="B1" s="288"/>
      <c r="C1" s="289"/>
      <c r="D1" s="289"/>
      <c r="E1" s="289"/>
      <c r="F1" s="290"/>
    </row>
    <row r="2" spans="1:6" s="2" customFormat="1" ht="16.5" customHeight="1" x14ac:dyDescent="0.35">
      <c r="A2" s="287"/>
      <c r="B2" s="291" t="s">
        <v>12</v>
      </c>
      <c r="C2" s="292"/>
      <c r="D2" s="292"/>
      <c r="E2" s="292"/>
      <c r="F2" s="293"/>
    </row>
    <row r="3" spans="1:6" s="2" customFormat="1" ht="16.5" customHeight="1" x14ac:dyDescent="0.25">
      <c r="A3" s="287"/>
      <c r="B3" s="294" t="s">
        <v>32</v>
      </c>
      <c r="C3" s="295"/>
      <c r="D3" s="295"/>
      <c r="E3" s="295"/>
      <c r="F3" s="296"/>
    </row>
    <row r="4" spans="1:6" x14ac:dyDescent="0.25">
      <c r="A4" s="280" t="s">
        <v>51</v>
      </c>
      <c r="B4" s="280"/>
      <c r="C4" s="280"/>
      <c r="D4" s="280"/>
      <c r="E4" s="280"/>
      <c r="F4" s="280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44732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303995.48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6" workbookViewId="0">
      <selection activeCell="F34" sqref="F34"/>
    </sheetView>
  </sheetViews>
  <sheetFormatPr baseColWidth="10" defaultRowHeight="15" x14ac:dyDescent="0.25"/>
  <cols>
    <col min="1" max="1" width="19.7109375" bestFit="1" customWidth="1"/>
    <col min="2" max="2" width="13.710937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7"/>
      <c r="B1" s="288"/>
      <c r="C1" s="289"/>
      <c r="D1" s="289"/>
      <c r="E1" s="289"/>
      <c r="F1" s="290"/>
    </row>
    <row r="2" spans="1:9" s="2" customFormat="1" ht="16.5" customHeight="1" x14ac:dyDescent="0.35">
      <c r="A2" s="287"/>
      <c r="B2" s="291" t="s">
        <v>12</v>
      </c>
      <c r="C2" s="292"/>
      <c r="D2" s="292"/>
      <c r="E2" s="292"/>
      <c r="F2" s="293"/>
    </row>
    <row r="3" spans="1:9" s="2" customFormat="1" ht="16.5" customHeight="1" x14ac:dyDescent="0.25">
      <c r="A3" s="287"/>
      <c r="B3" s="294" t="s">
        <v>32</v>
      </c>
      <c r="C3" s="295"/>
      <c r="D3" s="295"/>
      <c r="E3" s="295"/>
      <c r="F3" s="296"/>
    </row>
    <row r="4" spans="1:9" x14ac:dyDescent="0.25">
      <c r="A4" s="280" t="s">
        <v>51</v>
      </c>
      <c r="B4" s="280"/>
      <c r="C4" s="280"/>
      <c r="D4" s="280"/>
      <c r="E4" s="280"/>
      <c r="F4" s="280"/>
    </row>
    <row r="7" spans="1:9" ht="27" customHeight="1" x14ac:dyDescent="0.25">
      <c r="A7" s="4" t="s">
        <v>29</v>
      </c>
      <c r="B7" s="4" t="s">
        <v>160</v>
      </c>
      <c r="C7" s="4" t="s">
        <v>161</v>
      </c>
      <c r="D7" s="4" t="s">
        <v>157</v>
      </c>
      <c r="E7" s="4" t="s">
        <v>87</v>
      </c>
      <c r="F7" s="3" t="s">
        <v>158</v>
      </c>
      <c r="G7" s="4" t="s">
        <v>91</v>
      </c>
      <c r="H7" s="207" t="s">
        <v>159</v>
      </c>
      <c r="I7" s="207" t="s">
        <v>162</v>
      </c>
    </row>
    <row r="8" spans="1:9" x14ac:dyDescent="0.25">
      <c r="A8" s="46">
        <f>'DIA 1'!B$6</f>
        <v>44743</v>
      </c>
      <c r="B8" s="208">
        <f>'DIA 1'!B$19</f>
        <v>462</v>
      </c>
      <c r="C8" s="209">
        <f>'DIA 1'!B$20</f>
        <v>2561.54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13.58</v>
      </c>
      <c r="I8" s="209">
        <f>'DIA 1'!B$44</f>
        <v>75.233199999999997</v>
      </c>
    </row>
    <row r="9" spans="1:9" x14ac:dyDescent="0.25">
      <c r="A9" s="46">
        <f>'DIA 2'!B$6</f>
        <v>44744</v>
      </c>
      <c r="B9" s="208">
        <f>'DIA 2'!B$19</f>
        <v>702</v>
      </c>
      <c r="C9" s="209">
        <f>'DIA 2'!B$20</f>
        <v>3903.12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44745</v>
      </c>
      <c r="B10" s="208">
        <f>'DIA 3'!B$19</f>
        <v>607</v>
      </c>
      <c r="C10" s="209">
        <f>'DIA 3'!B$20</f>
        <v>3374.9199999999996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23.17</v>
      </c>
      <c r="I10" s="209">
        <f>'DIA 3'!B$44</f>
        <v>128.8252</v>
      </c>
    </row>
    <row r="11" spans="1:9" x14ac:dyDescent="0.25">
      <c r="A11" s="46">
        <f>'DIA 4'!B$6</f>
        <v>44746</v>
      </c>
      <c r="B11" s="208">
        <f>'DIA 4'!B$19</f>
        <v>466</v>
      </c>
      <c r="C11" s="209">
        <f>'DIA 4'!B$20</f>
        <v>2590.96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7.85</v>
      </c>
      <c r="I11" s="209">
        <f>'DIA 4'!B$44</f>
        <v>43.645999999999994</v>
      </c>
    </row>
    <row r="12" spans="1:9" x14ac:dyDescent="0.25">
      <c r="A12" s="46">
        <f>'DIA 5'!B$6</f>
        <v>44747</v>
      </c>
      <c r="B12" s="208">
        <f>'DIA 5'!B$19</f>
        <v>467</v>
      </c>
      <c r="C12" s="209">
        <f>'DIA 5'!B$20</f>
        <v>2596.52</v>
      </c>
      <c r="D12" s="209">
        <f>'DIA 5'!B$27</f>
        <v>5</v>
      </c>
      <c r="E12" s="209">
        <f>'DIA 5'!B$28</f>
        <v>29</v>
      </c>
      <c r="F12" s="209">
        <f>'DIA 5'!B$35</f>
        <v>0</v>
      </c>
      <c r="G12" s="209">
        <f>'DIA 5'!B$36</f>
        <v>0</v>
      </c>
      <c r="H12" s="209">
        <f>'DIA 5'!B$43</f>
        <v>23.2</v>
      </c>
      <c r="I12" s="209">
        <f>'DIA 5'!B$44</f>
        <v>128.99199999999999</v>
      </c>
    </row>
    <row r="13" spans="1:9" x14ac:dyDescent="0.25">
      <c r="A13" s="46">
        <f>'DIA 6'!B$6</f>
        <v>44748</v>
      </c>
      <c r="B13" s="208">
        <f>'DIA 6'!B$19</f>
        <v>389</v>
      </c>
      <c r="C13" s="209">
        <f>'DIA 6'!B$20</f>
        <v>2162.8399999999997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44749</v>
      </c>
      <c r="B14" s="208">
        <f>'DIA 7'!B$19</f>
        <v>382</v>
      </c>
      <c r="C14" s="209">
        <f>'DIA 7'!B$20</f>
        <v>2125.31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438</v>
      </c>
      <c r="C15" s="209">
        <f>'DIA 8'!B$20</f>
        <v>2448.94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29.11</v>
      </c>
      <c r="I15" s="209">
        <f>'DIA 8'!B$44</f>
        <v>162.14270000000002</v>
      </c>
    </row>
    <row r="16" spans="1:9" x14ac:dyDescent="0.25">
      <c r="A16" s="46">
        <f>'DIA 9'!B$6</f>
        <v>44751</v>
      </c>
      <c r="B16" s="208">
        <f>'DIA 9'!B$19</f>
        <v>665</v>
      </c>
      <c r="C16" s="209">
        <f>'DIA 9'!B$20</f>
        <v>3730.65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20.04</v>
      </c>
      <c r="I16" s="209">
        <f>'DIA 9'!B$44</f>
        <v>112.42440000000001</v>
      </c>
    </row>
    <row r="17" spans="1:9" x14ac:dyDescent="0.25">
      <c r="A17" s="46">
        <f>'DIA 10'!B$6</f>
        <v>44752</v>
      </c>
      <c r="B17" s="208">
        <f>'DIA 10'!B$19</f>
        <v>828</v>
      </c>
      <c r="C17" s="209">
        <f>'DIA 10'!B$20</f>
        <v>4645.08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63.3</v>
      </c>
      <c r="I17" s="209">
        <f>'DIA 10'!B$44</f>
        <v>355.113</v>
      </c>
    </row>
    <row r="18" spans="1:9" x14ac:dyDescent="0.25">
      <c r="A18" s="46">
        <f>'DIA 11'!B$6</f>
        <v>44753</v>
      </c>
      <c r="B18" s="208">
        <f>'DIA 11'!B$19</f>
        <v>317</v>
      </c>
      <c r="C18" s="209">
        <f>'DIA 11'!B$20</f>
        <v>1778.3700000000001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348</v>
      </c>
      <c r="C19" s="209">
        <f>'DIA 12'!B$20</f>
        <v>1951.3899999999996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415</v>
      </c>
      <c r="C20" s="209">
        <f>'DIA 13'!B$20</f>
        <v>2341.62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500</v>
      </c>
      <c r="C21" s="209">
        <f>'DIA 14'!B$20</f>
        <v>2834.1400000000003</v>
      </c>
      <c r="D21" s="209">
        <f>'DIA 14'!B$27</f>
        <v>0</v>
      </c>
      <c r="E21" s="209">
        <f>'DIA 14'!B$28</f>
        <v>0</v>
      </c>
      <c r="F21" s="209">
        <f>'DIA 14'!B$35</f>
        <v>100</v>
      </c>
      <c r="G21" s="209">
        <f>'DIA 14'!B$36</f>
        <v>566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734</v>
      </c>
      <c r="C22" s="209">
        <f>'DIA 15'!B$20</f>
        <v>4174.78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728</v>
      </c>
      <c r="C23" s="209">
        <f>'DIA 16'!B$20</f>
        <v>4149.6000000000004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8.5</v>
      </c>
      <c r="I23" s="209">
        <f>'DIA 16'!B$44</f>
        <v>48.45</v>
      </c>
    </row>
    <row r="24" spans="1:9" x14ac:dyDescent="0.25">
      <c r="A24" s="46">
        <f>'DIA 17'!B$6</f>
        <v>44759</v>
      </c>
      <c r="B24" s="208">
        <f>'DIA 17'!B$19</f>
        <v>929</v>
      </c>
      <c r="C24" s="209">
        <f>'DIA 17'!B$20</f>
        <v>5295.3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63.29</v>
      </c>
      <c r="I24" s="209">
        <f>'DIA 17'!B$44</f>
        <v>360.75299999999999</v>
      </c>
    </row>
    <row r="25" spans="1:9" x14ac:dyDescent="0.25">
      <c r="A25" s="46">
        <f>'DIA 18'!B$6</f>
        <v>44760</v>
      </c>
      <c r="B25" s="208">
        <f>'DIA 18'!B$19</f>
        <v>369</v>
      </c>
      <c r="C25" s="209">
        <f>'DIA 18'!B$20</f>
        <v>2103.3000000000002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23.9</v>
      </c>
      <c r="I25" s="209">
        <f>'DIA 18'!B$44</f>
        <v>136.22999999999999</v>
      </c>
    </row>
    <row r="26" spans="1:9" x14ac:dyDescent="0.25">
      <c r="A26" s="46">
        <f>'DIA 19'!B$6</f>
        <v>44761</v>
      </c>
      <c r="B26" s="208">
        <f>'DIA 19'!B$19</f>
        <v>394</v>
      </c>
      <c r="C26" s="209">
        <f>'DIA 19'!B$20</f>
        <v>2245.8000000000002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44732</v>
      </c>
      <c r="B27" s="208">
        <f>'DIA 20'!B$19</f>
        <v>408</v>
      </c>
      <c r="C27" s="209">
        <f>'DIA 20'!B$20</f>
        <v>2332.02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400</v>
      </c>
      <c r="C28" s="209">
        <f>'DIA 21'!B$20</f>
        <v>2292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376</v>
      </c>
      <c r="C29" s="209">
        <f>'DIA 22'!B$20</f>
        <v>2154.48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17.260000000000002</v>
      </c>
      <c r="I29" s="209">
        <f>'DIA 22'!B$44</f>
        <v>98.899800000000013</v>
      </c>
    </row>
    <row r="30" spans="1:9" x14ac:dyDescent="0.25">
      <c r="A30" s="46">
        <f>'DIA 23'!B$6</f>
        <v>44765</v>
      </c>
      <c r="B30" s="208">
        <f>'DIA 23'!B$19</f>
        <v>564</v>
      </c>
      <c r="C30" s="209">
        <f>'DIA 23'!B$20</f>
        <v>3231.7200000000003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662</v>
      </c>
      <c r="C31" s="209">
        <f>'DIA 24'!B$20</f>
        <v>3793.26</v>
      </c>
      <c r="D31" s="209">
        <f>'DIA 24'!B$27</f>
        <v>0</v>
      </c>
      <c r="E31" s="209">
        <f>'DIA 24'!B$28</f>
        <v>0</v>
      </c>
      <c r="F31" s="209">
        <f>'DIA 24'!B$35</f>
        <v>10.55</v>
      </c>
      <c r="G31" s="209">
        <f>'DIA 24'!B$36</f>
        <v>60.45150000000001</v>
      </c>
      <c r="H31" s="209">
        <f>'DIA 24'!B$43</f>
        <v>65.900000000000006</v>
      </c>
      <c r="I31" s="209">
        <f>'DIA 24'!B$44</f>
        <v>377.60700000000008</v>
      </c>
    </row>
    <row r="32" spans="1:9" x14ac:dyDescent="0.25">
      <c r="A32" s="46">
        <f>'DIA 25'!B$6</f>
        <v>44767</v>
      </c>
      <c r="B32" s="208">
        <f>'DIA 25'!B$19</f>
        <v>391</v>
      </c>
      <c r="C32" s="209">
        <f>'DIA 25'!B$20</f>
        <v>2240.4300000000003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346</v>
      </c>
      <c r="C33" s="209">
        <f>'DIA 26'!B$20</f>
        <v>1986.06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35.159999999999997</v>
      </c>
      <c r="I33" s="209">
        <f>'DIA 26'!B$44</f>
        <v>201.46680000000001</v>
      </c>
    </row>
    <row r="34" spans="1:9" x14ac:dyDescent="0.25">
      <c r="A34" s="46">
        <f>'DIA 27'!B$6</f>
        <v>44769</v>
      </c>
      <c r="B34" s="208">
        <f>'DIA 27'!B$19</f>
        <v>328</v>
      </c>
      <c r="C34" s="209">
        <f>'DIA 27'!B$20</f>
        <v>1886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44770</v>
      </c>
      <c r="B35" s="208">
        <f>'DIA 28'!B$19</f>
        <v>373</v>
      </c>
      <c r="C35" s="209">
        <f>'DIA 28'!B$20</f>
        <v>2154.69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44771</v>
      </c>
      <c r="B36" s="208">
        <f>'DIA 29'!B$19</f>
        <v>316</v>
      </c>
      <c r="C36" s="209">
        <f>'DIA 29'!B$20</f>
        <v>1828.0700000000002</v>
      </c>
      <c r="D36" s="209">
        <f>'DIA 29'!B$27</f>
        <v>0</v>
      </c>
      <c r="E36" s="209">
        <f>'DIA 29'!B$28</f>
        <v>0</v>
      </c>
      <c r="F36" s="209">
        <f>'DIA 29'!B$35</f>
        <v>20</v>
      </c>
      <c r="G36" s="209">
        <f>'DIA 29'!B$36</f>
        <v>115.60000000000001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44772</v>
      </c>
      <c r="B37" s="208">
        <f>'DIA 30'!B$19</f>
        <v>640</v>
      </c>
      <c r="C37" s="209">
        <f>'DIA 30'!B$20</f>
        <v>3705.6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27.72</v>
      </c>
      <c r="I37" s="209">
        <f>'DIA 30'!B$44</f>
        <v>160.49879999999999</v>
      </c>
    </row>
    <row r="38" spans="1:9" x14ac:dyDescent="0.25">
      <c r="A38" s="46">
        <f>'DIA 31'!B$6</f>
        <v>44773</v>
      </c>
      <c r="B38" s="208">
        <f>'DIA 31'!B$19</f>
        <v>530</v>
      </c>
      <c r="C38" s="209">
        <f>'DIA 31'!B$20</f>
        <v>3068.7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53.84</v>
      </c>
      <c r="I38" s="209">
        <f>'DIA 31'!B$44</f>
        <v>311.73360000000002</v>
      </c>
    </row>
    <row r="39" spans="1:9" x14ac:dyDescent="0.25">
      <c r="A39" s="32" t="s">
        <v>43</v>
      </c>
      <c r="B39" s="134">
        <f>SUM(B8:B38)</f>
        <v>15474</v>
      </c>
      <c r="C39" s="134"/>
      <c r="D39" s="134">
        <f>SUM(D8:D38)</f>
        <v>5</v>
      </c>
      <c r="E39" s="134">
        <f>SUM(F8:F38)</f>
        <v>130.55000000000001</v>
      </c>
      <c r="H39" s="254">
        <f>SUM(H8:H38)</f>
        <v>475.82000000000005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303995.48</v>
      </c>
    </row>
    <row r="43" spans="1:9" x14ac:dyDescent="0.25">
      <c r="A43" s="36" t="s">
        <v>49</v>
      </c>
      <c r="B43" s="37">
        <f>B39/B42</f>
        <v>5.0902072622921894E-2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1" zoomScale="90" zoomScaleNormal="90" workbookViewId="0">
      <selection activeCell="B12" sqref="B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7"/>
      <c r="B1" s="304"/>
      <c r="C1" s="304"/>
      <c r="D1" s="304"/>
      <c r="E1" s="304"/>
      <c r="F1" s="304"/>
      <c r="G1" s="304"/>
      <c r="H1" s="304"/>
      <c r="M1" s="76"/>
      <c r="N1" s="71"/>
    </row>
    <row r="2" spans="1:28" s="84" customFormat="1" ht="16.5" customHeight="1" x14ac:dyDescent="0.35">
      <c r="A2" s="277"/>
      <c r="B2" s="304" t="s">
        <v>12</v>
      </c>
      <c r="C2" s="304"/>
      <c r="D2" s="304"/>
      <c r="E2" s="304"/>
      <c r="F2" s="304"/>
      <c r="G2" s="304"/>
      <c r="H2" s="304"/>
      <c r="M2" s="76"/>
      <c r="N2" s="71"/>
    </row>
    <row r="3" spans="1:28" s="84" customFormat="1" ht="21.75" customHeight="1" x14ac:dyDescent="0.25">
      <c r="A3" s="277"/>
      <c r="B3" s="305" t="s">
        <v>21</v>
      </c>
      <c r="C3" s="305"/>
      <c r="D3" s="305"/>
      <c r="E3" s="305"/>
      <c r="F3" s="305"/>
      <c r="G3" s="305"/>
      <c r="H3" s="305"/>
      <c r="M3" s="76"/>
      <c r="N3" s="71"/>
    </row>
    <row r="4" spans="1:28" x14ac:dyDescent="0.25">
      <c r="B4" s="306" t="s">
        <v>186</v>
      </c>
      <c r="C4" s="306"/>
      <c r="D4" s="306"/>
      <c r="E4" s="306"/>
      <c r="F4" s="306"/>
      <c r="G4" s="306"/>
      <c r="H4" s="306"/>
    </row>
    <row r="6" spans="1:28" x14ac:dyDescent="0.25">
      <c r="A6" s="7" t="s">
        <v>22</v>
      </c>
      <c r="B6" s="72">
        <v>44743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5.54</v>
      </c>
      <c r="C8" s="85" t="s">
        <v>94</v>
      </c>
      <c r="D8" s="108"/>
    </row>
    <row r="9" spans="1:28" x14ac:dyDescent="0.25">
      <c r="A9" s="7" t="s">
        <v>78</v>
      </c>
      <c r="B9" s="108">
        <v>5.56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1095</v>
      </c>
      <c r="C12" s="15"/>
      <c r="D12" s="56"/>
      <c r="E12" s="16"/>
      <c r="F12" s="56"/>
      <c r="G12" s="56"/>
      <c r="H12" s="17"/>
      <c r="I12" s="83">
        <v>1095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359</v>
      </c>
      <c r="K13" s="75"/>
      <c r="L13" s="186">
        <f t="shared" ref="L13:L28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83</v>
      </c>
      <c r="B14" s="57">
        <f>B13*B8</f>
        <v>1988.86</v>
      </c>
      <c r="C14" s="15"/>
      <c r="D14" s="56"/>
      <c r="E14" s="16"/>
      <c r="F14" s="56"/>
      <c r="G14" s="56"/>
      <c r="H14" s="17"/>
      <c r="I14" s="83"/>
      <c r="J14" s="81">
        <f t="shared" si="0"/>
        <v>1988.86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>
        <v>103</v>
      </c>
      <c r="C15" s="15"/>
      <c r="D15" s="56"/>
      <c r="E15" s="16"/>
      <c r="F15" s="56"/>
      <c r="G15" s="56"/>
      <c r="H15" s="17"/>
      <c r="I15" s="83"/>
      <c r="J15" s="81">
        <f t="shared" si="0"/>
        <v>103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572.67999999999995</v>
      </c>
      <c r="C16" s="15"/>
      <c r="D16" s="56"/>
      <c r="E16" s="16"/>
      <c r="F16" s="56"/>
      <c r="G16" s="56"/>
      <c r="H16" s="17"/>
      <c r="I16" s="83"/>
      <c r="J16" s="81">
        <f t="shared" si="0"/>
        <v>572.67999999999995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462</v>
      </c>
      <c r="C19" s="95"/>
      <c r="D19" s="94"/>
      <c r="E19" s="96"/>
      <c r="F19" s="94"/>
      <c r="G19" s="94"/>
      <c r="H19" s="98"/>
      <c r="I19" s="99">
        <v>462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2561.54</v>
      </c>
      <c r="C20" s="95"/>
      <c r="D20" s="94"/>
      <c r="E20" s="96"/>
      <c r="F20" s="94"/>
      <c r="G20" s="94"/>
      <c r="H20" s="98"/>
      <c r="I20" s="99">
        <v>2568.7199999999998</v>
      </c>
      <c r="J20" s="185">
        <f t="shared" si="0"/>
        <v>-7.1799999999998363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2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>
        <v>13.58</v>
      </c>
      <c r="C37" s="100"/>
      <c r="D37" s="66"/>
      <c r="E37" s="67"/>
      <c r="F37" s="66"/>
      <c r="G37" s="66"/>
      <c r="H37" s="102"/>
      <c r="I37" s="79">
        <v>13.85</v>
      </c>
      <c r="J37" s="81">
        <f t="shared" si="0"/>
        <v>-0.26999999999999957</v>
      </c>
      <c r="K37" s="80">
        <v>13.85</v>
      </c>
      <c r="L37" s="186">
        <f>K37-B37</f>
        <v>0.26999999999999957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75.233199999999997</v>
      </c>
      <c r="C38" s="100"/>
      <c r="D38" s="66"/>
      <c r="E38" s="67"/>
      <c r="F38" s="66"/>
      <c r="G38" s="66"/>
      <c r="H38" s="102"/>
      <c r="I38" s="79">
        <v>75.23</v>
      </c>
      <c r="J38" s="81">
        <f t="shared" si="0"/>
        <v>3.1999999999925421E-3</v>
      </c>
      <c r="K38" s="80">
        <v>75.23</v>
      </c>
      <c r="L38" s="186">
        <f>K38-B38</f>
        <v>-3.1999999999925421E-3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299" t="s">
        <v>107</v>
      </c>
      <c r="O42" s="300"/>
      <c r="P42" s="300"/>
      <c r="Q42" s="301"/>
      <c r="R42" s="190">
        <f t="shared" ref="R42:Y42" si="10">SUM(R12:R41)</f>
        <v>0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0</v>
      </c>
      <c r="W42" s="190">
        <f t="shared" si="10"/>
        <v>0</v>
      </c>
      <c r="X42" s="190">
        <f t="shared" si="10"/>
        <v>0</v>
      </c>
      <c r="Y42" s="190">
        <f t="shared" si="10"/>
        <v>0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103</v>
      </c>
      <c r="B43" s="97">
        <f>+B37+B39+B41</f>
        <v>13.58</v>
      </c>
      <c r="C43" s="95"/>
      <c r="D43" s="94"/>
      <c r="E43" s="96"/>
      <c r="F43" s="94"/>
      <c r="G43" s="94"/>
      <c r="H43" s="98"/>
      <c r="I43" s="99">
        <v>13.85</v>
      </c>
      <c r="J43" s="185">
        <f t="shared" si="0"/>
        <v>-0.26999999999999957</v>
      </c>
      <c r="K43" s="99">
        <v>13.85</v>
      </c>
      <c r="L43" s="187">
        <f>K43-B43</f>
        <v>0.26999999999999957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75.233199999999997</v>
      </c>
      <c r="C44" s="95"/>
      <c r="D44" s="94"/>
      <c r="E44" s="96"/>
      <c r="F44" s="94"/>
      <c r="G44" s="94"/>
      <c r="H44" s="98"/>
      <c r="I44" s="99">
        <v>75.23</v>
      </c>
      <c r="J44" s="185">
        <f t="shared" si="0"/>
        <v>3.1999999999925421E-3</v>
      </c>
      <c r="K44" s="99">
        <v>75.23</v>
      </c>
      <c r="L44" s="187">
        <f>K44-B44</f>
        <v>-3.1999999999925421E-3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49" si="27">D46*E46</f>
        <v>0</v>
      </c>
      <c r="G46" s="117">
        <f t="shared" ref="G46:G51" si="28">B46-D46-F46</f>
        <v>0</v>
      </c>
      <c r="H46" s="173">
        <f>B$6+1</f>
        <v>44744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44744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173</v>
      </c>
      <c r="B49" s="117">
        <f>R75</f>
        <v>6716.04</v>
      </c>
      <c r="C49" s="116">
        <v>7.4999999999999997E-3</v>
      </c>
      <c r="D49" s="117">
        <f t="shared" si="29"/>
        <v>50.3703</v>
      </c>
      <c r="E49" s="172">
        <v>0</v>
      </c>
      <c r="F49" s="117">
        <f t="shared" si="27"/>
        <v>0</v>
      </c>
      <c r="G49" s="117">
        <f t="shared" si="28"/>
        <v>6665.6697000000004</v>
      </c>
      <c r="H49" s="173">
        <f t="shared" si="31"/>
        <v>44744</v>
      </c>
      <c r="I49" s="176">
        <f>466.66+6249.38</f>
        <v>6716.04</v>
      </c>
      <c r="J49" s="81">
        <f t="shared" si="0"/>
        <v>0</v>
      </c>
      <c r="K49" s="80">
        <v>6665.67</v>
      </c>
      <c r="L49" s="186">
        <f t="shared" si="30"/>
        <v>-2.9999999969732016E-4</v>
      </c>
      <c r="M49" s="107"/>
      <c r="N49" s="104">
        <v>7</v>
      </c>
      <c r="O49" s="167" t="s">
        <v>70</v>
      </c>
      <c r="P49" s="158"/>
      <c r="Q49" s="158"/>
      <c r="R49" s="160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291.14999999999998</v>
      </c>
      <c r="C50" s="116">
        <v>7.4999999999999997E-3</v>
      </c>
      <c r="D50" s="117">
        <f t="shared" si="29"/>
        <v>2.1836249999999997</v>
      </c>
      <c r="E50" s="172">
        <v>0</v>
      </c>
      <c r="F50" s="117">
        <f>D50*E50</f>
        <v>0</v>
      </c>
      <c r="G50" s="117">
        <f t="shared" si="28"/>
        <v>288.96637499999997</v>
      </c>
      <c r="H50" s="173">
        <f t="shared" si="31"/>
        <v>44744</v>
      </c>
      <c r="I50" s="175"/>
      <c r="J50" s="81">
        <f t="shared" si="0"/>
        <v>291.14999999999998</v>
      </c>
      <c r="K50" s="80">
        <v>288.97000000000003</v>
      </c>
      <c r="L50" s="186">
        <f t="shared" si="30"/>
        <v>-3.6250000000563887E-3</v>
      </c>
      <c r="M50" s="107"/>
      <c r="N50" s="104">
        <v>8</v>
      </c>
      <c r="O50" s="167" t="s">
        <v>70</v>
      </c>
      <c r="P50" s="158"/>
      <c r="Q50" s="158"/>
      <c r="R50" s="160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486.88</v>
      </c>
      <c r="C51" s="116">
        <v>1.4999999999999999E-2</v>
      </c>
      <c r="D51" s="117">
        <f>+B51*C51</f>
        <v>7.3031999999999995</v>
      </c>
      <c r="E51" s="172">
        <v>0</v>
      </c>
      <c r="F51" s="117">
        <f>D51*E51</f>
        <v>0</v>
      </c>
      <c r="G51" s="117">
        <f t="shared" si="28"/>
        <v>479.57679999999999</v>
      </c>
      <c r="H51" s="173">
        <f t="shared" si="31"/>
        <v>44744</v>
      </c>
      <c r="I51" s="175">
        <v>778.03</v>
      </c>
      <c r="J51" s="81">
        <f t="shared" si="0"/>
        <v>-291.14999999999998</v>
      </c>
      <c r="K51" s="80">
        <v>479.58</v>
      </c>
      <c r="L51" s="186">
        <f t="shared" si="30"/>
        <v>-3.1999999999925421E-3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31"/>
        <v>44744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44744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44744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44744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187</v>
      </c>
      <c r="B56" s="117">
        <f>T75</f>
        <v>429.57000000000005</v>
      </c>
      <c r="C56" s="116">
        <v>2.5000000000000001E-2</v>
      </c>
      <c r="D56" s="117">
        <f t="shared" si="32"/>
        <v>10.739250000000002</v>
      </c>
      <c r="E56" s="172">
        <v>0.05</v>
      </c>
      <c r="F56" s="117">
        <f t="shared" si="33"/>
        <v>18.515948275862073</v>
      </c>
      <c r="G56" s="117">
        <f t="shared" si="34"/>
        <v>400.31480172413796</v>
      </c>
      <c r="H56" s="173">
        <f t="shared" si="31"/>
        <v>44744</v>
      </c>
      <c r="I56" s="176">
        <f>417.58+12</f>
        <v>429.58</v>
      </c>
      <c r="J56" s="81">
        <f t="shared" si="0"/>
        <v>-9.9999999999340616E-3</v>
      </c>
      <c r="K56" s="80"/>
      <c r="L56" s="186">
        <f t="shared" si="30"/>
        <v>400.31480172413796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70.596374999999995</v>
      </c>
      <c r="E61" s="177"/>
      <c r="F61" s="57">
        <f>SUM(F46:F58)</f>
        <v>18.515948275862073</v>
      </c>
      <c r="G61" s="57">
        <f>SUM(G46:G58)</f>
        <v>7834.5276767241385</v>
      </c>
      <c r="H61" s="173">
        <f t="shared" si="31"/>
        <v>44744</v>
      </c>
      <c r="I61" s="175"/>
      <c r="J61" s="81">
        <f t="shared" si="0"/>
        <v>0</v>
      </c>
      <c r="K61" s="80"/>
      <c r="L61" s="186">
        <f t="shared" si="30"/>
        <v>7834.5276767241385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2" t="s">
        <v>109</v>
      </c>
      <c r="O63" s="302"/>
      <c r="P63" s="302"/>
      <c r="Q63" s="30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15669.055353448277</v>
      </c>
      <c r="H64" s="184"/>
      <c r="I64" s="175"/>
      <c r="J64" s="81">
        <f t="shared" si="0"/>
        <v>0</v>
      </c>
      <c r="K64" s="80"/>
      <c r="L64" s="186">
        <f t="shared" si="30"/>
        <v>15669.055353448277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11655.413199999999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07" t="s">
        <v>20</v>
      </c>
      <c r="B67" s="308"/>
      <c r="F67" s="309" t="s">
        <v>136</v>
      </c>
      <c r="G67" s="309"/>
      <c r="H67" s="309"/>
      <c r="I67" s="310" t="s">
        <v>138</v>
      </c>
      <c r="J67" s="311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11529.97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11597.31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02" t="s">
        <v>110</v>
      </c>
      <c r="O69" s="302"/>
      <c r="P69" s="303"/>
      <c r="Q69" s="30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-67.340000000000146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227</v>
      </c>
      <c r="Q70" s="228">
        <v>1001</v>
      </c>
      <c r="R70" s="238">
        <f>59.89+263.87</f>
        <v>323.76</v>
      </c>
      <c r="S70" s="228"/>
      <c r="T70" s="247">
        <f>44.25+48.02</f>
        <v>92.27000000000001</v>
      </c>
      <c r="U70" s="189">
        <f t="shared" ref="U70:U74" si="54">((T70/U$10)*U$9)</f>
        <v>3.9771551724137937</v>
      </c>
      <c r="V70" s="189">
        <f t="shared" ref="V70:V74" si="55">R70*V$10</f>
        <v>2.4281999999999999</v>
      </c>
      <c r="W70" s="189">
        <f t="shared" ref="W70:W74" si="56">+S70*V$10</f>
        <v>0</v>
      </c>
      <c r="X70" s="189">
        <f t="shared" ref="X70:X74" si="57">+T70*X$10</f>
        <v>2.3067500000000005</v>
      </c>
      <c r="Y70" s="189">
        <f t="shared" ref="Y70:Y74" si="58">R70-V70</f>
        <v>321.33179999999999</v>
      </c>
      <c r="Z70" s="189">
        <f t="shared" ref="Z70:Z74" si="59">S70-W70</f>
        <v>0</v>
      </c>
      <c r="AA70" s="189">
        <f t="shared" ref="AA70:AA74" si="60">T70-U70-X70</f>
        <v>85.986094827586228</v>
      </c>
      <c r="AB70" s="87"/>
    </row>
    <row r="71" spans="1:30" ht="28.5" customHeight="1" thickBot="1" x14ac:dyDescent="0.3">
      <c r="A71" s="25" t="s">
        <v>57</v>
      </c>
      <c r="B71" s="70">
        <f>(B65-B69)-B72</f>
        <v>58.103199999999561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226</v>
      </c>
      <c r="Q71" s="228">
        <v>1001</v>
      </c>
      <c r="R71" s="238">
        <v>142.9</v>
      </c>
      <c r="S71" s="228"/>
      <c r="T71" s="247">
        <f>197.9+127.4</f>
        <v>325.3</v>
      </c>
      <c r="U71" s="189">
        <f t="shared" si="54"/>
        <v>14.021551724137934</v>
      </c>
      <c r="V71" s="189">
        <f t="shared" si="55"/>
        <v>1.07175</v>
      </c>
      <c r="W71" s="189">
        <f t="shared" si="56"/>
        <v>0</v>
      </c>
      <c r="X71" s="189">
        <f t="shared" si="57"/>
        <v>8.1325000000000003</v>
      </c>
      <c r="Y71" s="189">
        <f t="shared" si="58"/>
        <v>141.82825</v>
      </c>
      <c r="Z71" s="189">
        <f t="shared" si="59"/>
        <v>0</v>
      </c>
      <c r="AA71" s="189">
        <f t="shared" si="60"/>
        <v>303.14594827586211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 t="s">
        <v>228</v>
      </c>
      <c r="Q72" s="228">
        <v>2003</v>
      </c>
      <c r="R72" s="238">
        <f>575.76+928.49</f>
        <v>1504.25</v>
      </c>
      <c r="S72" s="228"/>
      <c r="T72" s="247">
        <v>12</v>
      </c>
      <c r="U72" s="189">
        <f t="shared" si="54"/>
        <v>0.51724137931034486</v>
      </c>
      <c r="V72" s="189">
        <f t="shared" si="55"/>
        <v>11.281874999999999</v>
      </c>
      <c r="W72" s="189">
        <f t="shared" si="56"/>
        <v>0</v>
      </c>
      <c r="X72" s="189">
        <f t="shared" si="57"/>
        <v>0.30000000000000004</v>
      </c>
      <c r="Y72" s="189">
        <f t="shared" si="58"/>
        <v>1492.9681250000001</v>
      </c>
      <c r="Z72" s="189">
        <f t="shared" si="59"/>
        <v>0</v>
      </c>
      <c r="AA72" s="189">
        <f t="shared" si="60"/>
        <v>11.182758620689654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 t="s">
        <v>229</v>
      </c>
      <c r="Q73" s="228">
        <v>2003</v>
      </c>
      <c r="R73" s="222">
        <f>222.65+1887.64+1890.55</f>
        <v>4000.84</v>
      </c>
      <c r="S73" s="228"/>
      <c r="T73" s="228"/>
      <c r="U73" s="189">
        <f t="shared" si="54"/>
        <v>0</v>
      </c>
      <c r="V73" s="189">
        <f t="shared" si="55"/>
        <v>30.0063</v>
      </c>
      <c r="W73" s="189">
        <f t="shared" si="56"/>
        <v>0</v>
      </c>
      <c r="X73" s="189">
        <f t="shared" si="57"/>
        <v>0</v>
      </c>
      <c r="Y73" s="189">
        <f t="shared" si="58"/>
        <v>3970.8337000000001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 t="s">
        <v>172</v>
      </c>
      <c r="P74" s="228">
        <v>96</v>
      </c>
      <c r="Q74" s="228">
        <v>2002</v>
      </c>
      <c r="R74" s="238">
        <v>744.29</v>
      </c>
      <c r="S74" s="228"/>
      <c r="T74" s="228"/>
      <c r="U74" s="189">
        <f t="shared" si="54"/>
        <v>0</v>
      </c>
      <c r="V74" s="189">
        <f t="shared" si="55"/>
        <v>5.5821749999999994</v>
      </c>
      <c r="W74" s="189">
        <f t="shared" si="56"/>
        <v>0</v>
      </c>
      <c r="X74" s="189">
        <f t="shared" si="57"/>
        <v>0</v>
      </c>
      <c r="Y74" s="189">
        <f t="shared" si="58"/>
        <v>738.70782499999996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302" t="s">
        <v>128</v>
      </c>
      <c r="O75" s="302"/>
      <c r="P75" s="303"/>
      <c r="Q75" s="303"/>
      <c r="R75" s="192">
        <f>SUM(R70:R74)</f>
        <v>6716.04</v>
      </c>
      <c r="S75" s="192"/>
      <c r="T75" s="192">
        <f>SUM(T70:T74)</f>
        <v>429.57000000000005</v>
      </c>
      <c r="U75" s="192">
        <f>SUM(U70:U74)</f>
        <v>18.515948275862073</v>
      </c>
      <c r="V75" s="192">
        <f t="shared" ref="V75" si="62">SUM(V70:V74)</f>
        <v>50.3703</v>
      </c>
      <c r="W75" s="192">
        <f t="shared" ref="W75" si="63">SUM(W70:W74)</f>
        <v>0</v>
      </c>
      <c r="X75" s="192">
        <f t="shared" ref="X75" si="64">SUM(X70:X74)</f>
        <v>10.739250000000002</v>
      </c>
      <c r="Y75" s="192">
        <f t="shared" ref="Y75" si="65">SUM(Y70:Y74)</f>
        <v>6665.6697000000004</v>
      </c>
      <c r="Z75" s="192">
        <f t="shared" ref="Z75" si="66">SUM(Z70:Z74)</f>
        <v>0</v>
      </c>
      <c r="AA75" s="193">
        <f t="shared" ref="AA75" si="67">SUM(AA70:AA74)</f>
        <v>400.31480172413796</v>
      </c>
      <c r="AB75" s="103"/>
    </row>
    <row r="76" spans="1:30" ht="15.75" x14ac:dyDescent="0.25">
      <c r="N76" s="315" t="s">
        <v>73</v>
      </c>
      <c r="O76" s="317" t="s">
        <v>67</v>
      </c>
      <c r="P76" s="302" t="s">
        <v>62</v>
      </c>
      <c r="Q76" s="302"/>
      <c r="R76" s="302"/>
      <c r="S76" s="302"/>
      <c r="T76" s="302"/>
      <c r="U76" s="319" t="s">
        <v>68</v>
      </c>
      <c r="V76" s="320"/>
      <c r="W76" s="320"/>
      <c r="X76" s="320"/>
      <c r="Y76" s="321"/>
      <c r="Z76" s="312" t="s">
        <v>54</v>
      </c>
      <c r="AA76" s="312" t="s">
        <v>64</v>
      </c>
      <c r="AB76" s="312" t="s">
        <v>124</v>
      </c>
      <c r="AC76" s="313" t="s">
        <v>127</v>
      </c>
      <c r="AD76" s="314" t="s">
        <v>65</v>
      </c>
    </row>
    <row r="77" spans="1:30" ht="60" x14ac:dyDescent="0.25">
      <c r="F77" s="297" t="s">
        <v>140</v>
      </c>
      <c r="G77" s="298"/>
      <c r="H77" s="141" t="s">
        <v>142</v>
      </c>
      <c r="N77" s="316"/>
      <c r="O77" s="318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12"/>
      <c r="AA77" s="312"/>
      <c r="AB77" s="312"/>
      <c r="AC77" s="313" t="s">
        <v>127</v>
      </c>
      <c r="AD77" s="31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47.92</v>
      </c>
      <c r="Q78" s="137">
        <v>41.86</v>
      </c>
      <c r="R78" s="82">
        <v>7.4999999999999997E-3</v>
      </c>
      <c r="S78" s="194">
        <f>+(P78+Q78)*R78</f>
        <v>0.67335</v>
      </c>
      <c r="T78" s="258">
        <f>+(P78+Q78)-S78</f>
        <v>89.106650000000002</v>
      </c>
      <c r="U78" s="112">
        <v>172.2</v>
      </c>
      <c r="V78" s="112"/>
      <c r="W78" s="113">
        <v>1.4999999999999999E-2</v>
      </c>
      <c r="X78" s="196">
        <f>+(U78+V78)*W78</f>
        <v>2.5829999999999997</v>
      </c>
      <c r="Y78" s="246">
        <f>+(U78+V78)-X78</f>
        <v>169.61699999999999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65.41</v>
      </c>
      <c r="Q79" s="137">
        <v>130.03</v>
      </c>
      <c r="R79" s="82">
        <v>7.4999999999999997E-3</v>
      </c>
      <c r="S79" s="194">
        <f t="shared" ref="S79:S97" si="69">+(P79+Q79)*R79</f>
        <v>1.4658</v>
      </c>
      <c r="T79" s="258">
        <f t="shared" ref="T79:T97" si="70">+(P79+Q79)-S79</f>
        <v>193.9742</v>
      </c>
      <c r="U79" s="211">
        <v>132.87</v>
      </c>
      <c r="V79" s="112"/>
      <c r="W79" s="113">
        <v>1.4999999999999999E-2</v>
      </c>
      <c r="X79" s="196">
        <f t="shared" ref="X79:X97" si="71">+(U79+V79)*W79</f>
        <v>1.99305</v>
      </c>
      <c r="Y79" s="246">
        <f t="shared" ref="Y79:Y97" si="72">+(U79+V79)-X79</f>
        <v>130.87694999999999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5.93</v>
      </c>
      <c r="Q80" s="137"/>
      <c r="R80" s="82">
        <v>7.4999999999999997E-3</v>
      </c>
      <c r="S80" s="194">
        <f t="shared" si="69"/>
        <v>4.4474999999999994E-2</v>
      </c>
      <c r="T80" s="246">
        <f t="shared" si="70"/>
        <v>5.8855249999999995</v>
      </c>
      <c r="U80" s="211">
        <v>29.66</v>
      </c>
      <c r="V80" s="112"/>
      <c r="W80" s="113">
        <v>1.4999999999999999E-2</v>
      </c>
      <c r="X80" s="196">
        <f t="shared" si="71"/>
        <v>0.44489999999999996</v>
      </c>
      <c r="Y80" s="213">
        <f t="shared" si="72"/>
        <v>29.2151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69"/>
        <v>0</v>
      </c>
      <c r="T81" s="219">
        <f t="shared" si="70"/>
        <v>0</v>
      </c>
      <c r="U81" s="211">
        <v>152.15</v>
      </c>
      <c r="V81" s="112"/>
      <c r="W81" s="113">
        <v>1.4999999999999999E-2</v>
      </c>
      <c r="X81" s="196">
        <f t="shared" si="71"/>
        <v>2.2822499999999999</v>
      </c>
      <c r="Y81" s="213">
        <f t="shared" si="72"/>
        <v>149.86775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119.25999999999999</v>
      </c>
      <c r="Q98" s="195">
        <f>SUM(Q78:Q97)</f>
        <v>171.89</v>
      </c>
      <c r="R98" s="111"/>
      <c r="S98" s="195">
        <f>SUM(S78:S97)</f>
        <v>2.1836249999999997</v>
      </c>
      <c r="T98" s="195">
        <f>SUM(T78:T97)</f>
        <v>288.96637499999997</v>
      </c>
      <c r="U98" s="114">
        <f>SUM(U78:U97)</f>
        <v>486.88</v>
      </c>
      <c r="V98" s="114">
        <f>SUM(V78:V97)</f>
        <v>0</v>
      </c>
      <c r="W98" s="112"/>
      <c r="X98" s="197">
        <f>SUM(X78:X97)</f>
        <v>7.3031999999999986</v>
      </c>
      <c r="Y98" s="197">
        <f>SUM(Y78:Y97)</f>
        <v>479.57679999999999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261.98</v>
      </c>
    </row>
    <row r="101" spans="14:30" x14ac:dyDescent="0.25">
      <c r="N101" s="85"/>
      <c r="P101" s="212">
        <f>P79+Q79+U79</f>
        <v>328.31</v>
      </c>
    </row>
    <row r="102" spans="14:30" x14ac:dyDescent="0.25">
      <c r="N102" s="85"/>
      <c r="P102" s="212">
        <f>P80+Q80+U80</f>
        <v>35.590000000000003</v>
      </c>
    </row>
    <row r="103" spans="14:30" x14ac:dyDescent="0.25">
      <c r="N103" s="85"/>
      <c r="P103" s="212">
        <f>P81+Q81+U81</f>
        <v>152.15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2022-07-05T13:20:35Z</cp:lastPrinted>
  <dcterms:created xsi:type="dcterms:W3CDTF">2013-07-24T18:56:16Z</dcterms:created>
  <dcterms:modified xsi:type="dcterms:W3CDTF">2022-08-02T18:02:16Z</dcterms:modified>
</cp:coreProperties>
</file>