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INFORME AUDITORIA 2022 KEYLA\LEIBYS CAPOTE\"/>
    </mc:Choice>
  </mc:AlternateContent>
  <bookViews>
    <workbookView xWindow="0" yWindow="0" windowWidth="19200" windowHeight="11205" firstSheet="1" activeTab="1"/>
  </bookViews>
  <sheets>
    <sheet name="OCTUBRE" sheetId="1" r:id="rId1"/>
    <sheet name="JULIO LAGUNETIXCA" sheetId="9" r:id="rId2"/>
    <sheet name="EFECTIVO LAGUNETICA" sheetId="12" r:id="rId3"/>
  </sheets>
  <externalReferences>
    <externalReference r:id="rId4"/>
    <externalReference r:id="rId5"/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0" i="9" l="1"/>
  <c r="E212" i="9"/>
  <c r="L222" i="9"/>
  <c r="R181" i="9"/>
  <c r="Q181" i="9"/>
  <c r="X114" i="9"/>
  <c r="X115" i="9"/>
  <c r="X116" i="9"/>
  <c r="X117" i="9"/>
  <c r="X118" i="9"/>
  <c r="X119" i="9"/>
  <c r="X120" i="9"/>
  <c r="X121" i="9"/>
  <c r="X122" i="9"/>
  <c r="X123" i="9"/>
  <c r="X124" i="9"/>
  <c r="X125" i="9"/>
  <c r="X126" i="9"/>
  <c r="X127" i="9"/>
  <c r="X128" i="9"/>
  <c r="X129" i="9"/>
  <c r="X130" i="9"/>
  <c r="X131" i="9"/>
  <c r="X132" i="9"/>
  <c r="X133" i="9"/>
  <c r="X134" i="9"/>
  <c r="X135" i="9"/>
  <c r="X136" i="9"/>
  <c r="X137" i="9"/>
  <c r="X138" i="9"/>
  <c r="X139" i="9"/>
  <c r="X140" i="9"/>
  <c r="X142" i="9"/>
  <c r="X143" i="9"/>
  <c r="U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4" i="9"/>
  <c r="H135" i="9"/>
  <c r="H136" i="9"/>
  <c r="H137" i="9"/>
  <c r="H138" i="9"/>
  <c r="H139" i="9"/>
  <c r="H140" i="9"/>
  <c r="H142" i="9"/>
  <c r="H14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H133" i="9" s="1"/>
  <c r="F134" i="9"/>
  <c r="F135" i="9"/>
  <c r="F136" i="9"/>
  <c r="F137" i="9"/>
  <c r="F138" i="9"/>
  <c r="F139" i="9"/>
  <c r="F140" i="9"/>
  <c r="F141" i="9"/>
  <c r="H141" i="9" s="1"/>
  <c r="F142" i="9"/>
  <c r="F14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O142" i="9"/>
  <c r="O143" i="9"/>
  <c r="O113" i="9"/>
  <c r="V79" i="9"/>
  <c r="V80" i="9"/>
  <c r="V81" i="9"/>
  <c r="V82" i="9"/>
  <c r="V83" i="9"/>
  <c r="V84" i="9"/>
  <c r="V85" i="9"/>
  <c r="V86" i="9"/>
  <c r="V87" i="9"/>
  <c r="V88" i="9"/>
  <c r="V89" i="9"/>
  <c r="V90" i="9"/>
  <c r="V91" i="9"/>
  <c r="V92" i="9"/>
  <c r="V93" i="9"/>
  <c r="V94" i="9"/>
  <c r="V95" i="9"/>
  <c r="V96" i="9"/>
  <c r="V97" i="9"/>
  <c r="V98" i="9"/>
  <c r="V99" i="9"/>
  <c r="V100" i="9"/>
  <c r="V101" i="9"/>
  <c r="V102" i="9"/>
  <c r="V103" i="9"/>
  <c r="V104" i="9"/>
  <c r="V105" i="9"/>
  <c r="V106" i="9"/>
  <c r="V107" i="9"/>
  <c r="V108" i="9"/>
  <c r="V78" i="9"/>
  <c r="U78" i="9"/>
  <c r="T92" i="9"/>
  <c r="T93" i="9"/>
  <c r="T94" i="9"/>
  <c r="I10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78" i="9"/>
  <c r="T78" i="9"/>
  <c r="G109" i="9"/>
  <c r="R72" i="9"/>
  <c r="Q72" i="9"/>
  <c r="O72" i="9"/>
  <c r="H72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37" i="9"/>
  <c r="F72" i="9"/>
  <c r="R34" i="9"/>
  <c r="Q34" i="9"/>
  <c r="K33" i="12"/>
  <c r="I33" i="12"/>
  <c r="G33" i="12"/>
  <c r="E33" i="12"/>
  <c r="D33" i="12"/>
  <c r="D66" i="9"/>
  <c r="B66" i="9"/>
  <c r="D32" i="9"/>
  <c r="B32" i="9"/>
  <c r="D143" i="9"/>
  <c r="B143" i="9"/>
  <c r="D67" i="9"/>
  <c r="B67" i="9"/>
  <c r="D33" i="9"/>
  <c r="B33" i="9"/>
  <c r="K165" i="9" l="1"/>
  <c r="L164" i="9"/>
  <c r="K164" i="9"/>
  <c r="K163" i="9"/>
  <c r="O163" i="9" s="1"/>
  <c r="Q163" i="9" s="1"/>
  <c r="R163" i="9" s="1"/>
  <c r="K161" i="9"/>
  <c r="K159" i="9"/>
  <c r="K158" i="9"/>
  <c r="K157" i="9"/>
  <c r="O157" i="9" s="1"/>
  <c r="Q157" i="9" s="1"/>
  <c r="R157" i="9" s="1"/>
  <c r="K152" i="9"/>
  <c r="K150" i="9"/>
  <c r="K65" i="9"/>
  <c r="K64" i="9"/>
  <c r="K62" i="9"/>
  <c r="K61" i="9"/>
  <c r="O61" i="9" s="1"/>
  <c r="Q61" i="9" s="1"/>
  <c r="R61" i="9" s="1"/>
  <c r="L60" i="9"/>
  <c r="K60" i="9"/>
  <c r="O60" i="9" s="1"/>
  <c r="Q60" i="9" s="1"/>
  <c r="R60" i="9" s="1"/>
  <c r="K59" i="9"/>
  <c r="K58" i="9"/>
  <c r="K57" i="9"/>
  <c r="K55" i="9"/>
  <c r="O55" i="9" s="1"/>
  <c r="Q55" i="9" s="1"/>
  <c r="R55" i="9" s="1"/>
  <c r="K54" i="9"/>
  <c r="K53" i="9"/>
  <c r="K48" i="9"/>
  <c r="K47" i="9"/>
  <c r="O47" i="9" s="1"/>
  <c r="Q47" i="9" s="1"/>
  <c r="R47" i="9" s="1"/>
  <c r="K46" i="9"/>
  <c r="K45" i="9"/>
  <c r="O45" i="9" s="1"/>
  <c r="Q45" i="9" s="1"/>
  <c r="R45" i="9" s="1"/>
  <c r="K44" i="9"/>
  <c r="F37" i="9"/>
  <c r="P78" i="9"/>
  <c r="I80" i="9"/>
  <c r="I82" i="9"/>
  <c r="I84" i="9"/>
  <c r="I86" i="9"/>
  <c r="I88" i="9"/>
  <c r="I90" i="9"/>
  <c r="I94" i="9"/>
  <c r="I100" i="9"/>
  <c r="I102" i="9"/>
  <c r="I104" i="9"/>
  <c r="I106" i="9"/>
  <c r="D65" i="9"/>
  <c r="B65" i="9"/>
  <c r="D31" i="9"/>
  <c r="B31" i="9"/>
  <c r="D64" i="9"/>
  <c r="B64" i="9"/>
  <c r="B30" i="9"/>
  <c r="D29" i="9"/>
  <c r="B29" i="9"/>
  <c r="B63" i="9"/>
  <c r="D62" i="9"/>
  <c r="B62" i="9"/>
  <c r="B27" i="9"/>
  <c r="D61" i="9"/>
  <c r="B61" i="9"/>
  <c r="E60" i="9"/>
  <c r="D60" i="9"/>
  <c r="C60" i="9"/>
  <c r="B60" i="9"/>
  <c r="D26" i="9"/>
  <c r="B26" i="9"/>
  <c r="D59" i="9"/>
  <c r="B59" i="9"/>
  <c r="D25" i="9"/>
  <c r="B25" i="9"/>
  <c r="D24" i="9"/>
  <c r="B24" i="9"/>
  <c r="D58" i="9"/>
  <c r="B58" i="9"/>
  <c r="D57" i="9"/>
  <c r="B57" i="9"/>
  <c r="D55" i="9"/>
  <c r="B55" i="9"/>
  <c r="D54" i="9"/>
  <c r="B54" i="9"/>
  <c r="D53" i="9"/>
  <c r="B53" i="9"/>
  <c r="E19" i="9"/>
  <c r="C19" i="9"/>
  <c r="D165" i="9"/>
  <c r="B165" i="9"/>
  <c r="D128" i="9"/>
  <c r="B128" i="9"/>
  <c r="E164" i="9"/>
  <c r="D164" i="9"/>
  <c r="C164" i="9"/>
  <c r="B164" i="9"/>
  <c r="D163" i="9"/>
  <c r="B163" i="9"/>
  <c r="B124" i="9"/>
  <c r="D161" i="9"/>
  <c r="B161" i="9"/>
  <c r="D48" i="9"/>
  <c r="B48" i="9"/>
  <c r="B13" i="9"/>
  <c r="D123" i="9"/>
  <c r="B123" i="9"/>
  <c r="D47" i="9"/>
  <c r="B47" i="9"/>
  <c r="B122" i="9"/>
  <c r="D159" i="9"/>
  <c r="B159" i="9"/>
  <c r="D158" i="9"/>
  <c r="B158" i="9"/>
  <c r="D121" i="9"/>
  <c r="B121" i="9"/>
  <c r="D46" i="9"/>
  <c r="B46" i="9"/>
  <c r="D45" i="9"/>
  <c r="B45" i="9"/>
  <c r="B120" i="9"/>
  <c r="D157" i="9"/>
  <c r="B157" i="9"/>
  <c r="D44" i="9"/>
  <c r="B44" i="9"/>
  <c r="E119" i="9"/>
  <c r="D119" i="9"/>
  <c r="C119" i="9"/>
  <c r="B119" i="9"/>
  <c r="B156" i="9"/>
  <c r="D150" i="9"/>
  <c r="D152" i="9"/>
  <c r="D115" i="9"/>
  <c r="B115" i="9"/>
  <c r="B152" i="9"/>
  <c r="D113" i="9"/>
  <c r="B113" i="9"/>
  <c r="B150" i="9"/>
  <c r="O180" i="9"/>
  <c r="Q180" i="9" s="1"/>
  <c r="R180" i="9" s="1"/>
  <c r="F180" i="9"/>
  <c r="Q179" i="9"/>
  <c r="R179" i="9" s="1"/>
  <c r="O179" i="9"/>
  <c r="H179" i="9"/>
  <c r="F179" i="9"/>
  <c r="O178" i="9"/>
  <c r="Q178" i="9" s="1"/>
  <c r="R178" i="9" s="1"/>
  <c r="F178" i="9"/>
  <c r="H178" i="9" s="1"/>
  <c r="Q177" i="9"/>
  <c r="R177" i="9" s="1"/>
  <c r="O177" i="9"/>
  <c r="H177" i="9"/>
  <c r="F177" i="9"/>
  <c r="O176" i="9"/>
  <c r="Q176" i="9" s="1"/>
  <c r="R176" i="9" s="1"/>
  <c r="F176" i="9"/>
  <c r="H176" i="9" s="1"/>
  <c r="Q175" i="9"/>
  <c r="R175" i="9" s="1"/>
  <c r="O175" i="9"/>
  <c r="H175" i="9"/>
  <c r="F175" i="9"/>
  <c r="O174" i="9"/>
  <c r="Q174" i="9" s="1"/>
  <c r="R174" i="9" s="1"/>
  <c r="F174" i="9"/>
  <c r="H174" i="9" s="1"/>
  <c r="Q173" i="9"/>
  <c r="R173" i="9" s="1"/>
  <c r="O173" i="9"/>
  <c r="H173" i="9"/>
  <c r="F173" i="9"/>
  <c r="O172" i="9"/>
  <c r="Q172" i="9" s="1"/>
  <c r="R172" i="9" s="1"/>
  <c r="F172" i="9"/>
  <c r="H172" i="9" s="1"/>
  <c r="Q171" i="9"/>
  <c r="R171" i="9" s="1"/>
  <c r="O171" i="9"/>
  <c r="H171" i="9"/>
  <c r="F171" i="9"/>
  <c r="O170" i="9"/>
  <c r="Q170" i="9" s="1"/>
  <c r="R170" i="9" s="1"/>
  <c r="F170" i="9"/>
  <c r="H170" i="9" s="1"/>
  <c r="Q169" i="9"/>
  <c r="R169" i="9" s="1"/>
  <c r="O169" i="9"/>
  <c r="H169" i="9"/>
  <c r="F169" i="9"/>
  <c r="O168" i="9"/>
  <c r="Q168" i="9" s="1"/>
  <c r="R168" i="9" s="1"/>
  <c r="F168" i="9"/>
  <c r="H168" i="9" s="1"/>
  <c r="Q167" i="9"/>
  <c r="R167" i="9" s="1"/>
  <c r="O167" i="9"/>
  <c r="H167" i="9"/>
  <c r="F167" i="9"/>
  <c r="O166" i="9"/>
  <c r="Q166" i="9" s="1"/>
  <c r="R166" i="9" s="1"/>
  <c r="F166" i="9"/>
  <c r="H166" i="9" s="1"/>
  <c r="Q165" i="9"/>
  <c r="R165" i="9" s="1"/>
  <c r="O165" i="9"/>
  <c r="H165" i="9"/>
  <c r="F165" i="9"/>
  <c r="O164" i="9"/>
  <c r="Q164" i="9" s="1"/>
  <c r="R164" i="9" s="1"/>
  <c r="F164" i="9"/>
  <c r="H164" i="9" s="1"/>
  <c r="F163" i="9"/>
  <c r="H163" i="9" s="1"/>
  <c r="O162" i="9"/>
  <c r="Q162" i="9" s="1"/>
  <c r="R162" i="9" s="1"/>
  <c r="F162" i="9"/>
  <c r="H162" i="9" s="1"/>
  <c r="O161" i="9"/>
  <c r="Q161" i="9" s="1"/>
  <c r="R161" i="9" s="1"/>
  <c r="H161" i="9"/>
  <c r="F161" i="9"/>
  <c r="O160" i="9"/>
  <c r="Q160" i="9" s="1"/>
  <c r="R160" i="9" s="1"/>
  <c r="F160" i="9"/>
  <c r="H160" i="9" s="1"/>
  <c r="O159" i="9"/>
  <c r="Q159" i="9" s="1"/>
  <c r="R159" i="9" s="1"/>
  <c r="H159" i="9"/>
  <c r="F159" i="9"/>
  <c r="O158" i="9"/>
  <c r="Q158" i="9" s="1"/>
  <c r="R158" i="9" s="1"/>
  <c r="F158" i="9"/>
  <c r="H158" i="9" s="1"/>
  <c r="F157" i="9"/>
  <c r="H157" i="9" s="1"/>
  <c r="O156" i="9"/>
  <c r="Q156" i="9" s="1"/>
  <c r="R156" i="9" s="1"/>
  <c r="F156" i="9"/>
  <c r="H156" i="9" s="1"/>
  <c r="O155" i="9"/>
  <c r="Q155" i="9" s="1"/>
  <c r="R155" i="9" s="1"/>
  <c r="F155" i="9"/>
  <c r="H155" i="9" s="1"/>
  <c r="O154" i="9"/>
  <c r="Q154" i="9" s="1"/>
  <c r="R154" i="9" s="1"/>
  <c r="F154" i="9"/>
  <c r="H154" i="9" s="1"/>
  <c r="O153" i="9"/>
  <c r="Q153" i="9" s="1"/>
  <c r="R153" i="9" s="1"/>
  <c r="H153" i="9"/>
  <c r="F153" i="9"/>
  <c r="O152" i="9"/>
  <c r="Q152" i="9" s="1"/>
  <c r="R152" i="9" s="1"/>
  <c r="F152" i="9"/>
  <c r="H152" i="9" s="1"/>
  <c r="O151" i="9"/>
  <c r="Q151" i="9" s="1"/>
  <c r="R151" i="9" s="1"/>
  <c r="H151" i="9"/>
  <c r="F151" i="9"/>
  <c r="O150" i="9"/>
  <c r="F150" i="9"/>
  <c r="L221" i="9"/>
  <c r="L220" i="9"/>
  <c r="L219" i="9"/>
  <c r="L218" i="9"/>
  <c r="L217" i="9"/>
  <c r="L216" i="9"/>
  <c r="L215" i="9"/>
  <c r="L214" i="9"/>
  <c r="L213" i="9"/>
  <c r="L212" i="9"/>
  <c r="L211" i="9"/>
  <c r="L210" i="9"/>
  <c r="L209" i="9"/>
  <c r="L208" i="9"/>
  <c r="L207" i="9"/>
  <c r="L206" i="9"/>
  <c r="L205" i="9"/>
  <c r="L204" i="9"/>
  <c r="L203" i="9"/>
  <c r="L202" i="9"/>
  <c r="L201" i="9"/>
  <c r="L200" i="9"/>
  <c r="L199" i="9"/>
  <c r="L198" i="9"/>
  <c r="L197" i="9"/>
  <c r="L196" i="9"/>
  <c r="L195" i="9"/>
  <c r="L194" i="9"/>
  <c r="L193" i="9"/>
  <c r="L192" i="9"/>
  <c r="L191" i="9"/>
  <c r="U143" i="9"/>
  <c r="T143" i="9"/>
  <c r="V143" i="9" s="1"/>
  <c r="Q143" i="9"/>
  <c r="R143" i="9" s="1"/>
  <c r="U142" i="9"/>
  <c r="T142" i="9"/>
  <c r="Q142" i="9"/>
  <c r="R142" i="9" s="1"/>
  <c r="U141" i="9"/>
  <c r="T141" i="9"/>
  <c r="V141" i="9" s="1"/>
  <c r="X141" i="9" s="1"/>
  <c r="Q141" i="9"/>
  <c r="R141" i="9" s="1"/>
  <c r="U140" i="9"/>
  <c r="T140" i="9"/>
  <c r="V140" i="9" s="1"/>
  <c r="Q140" i="9"/>
  <c r="R140" i="9" s="1"/>
  <c r="U139" i="9"/>
  <c r="T139" i="9"/>
  <c r="V139" i="9" s="1"/>
  <c r="Q139" i="9"/>
  <c r="R139" i="9" s="1"/>
  <c r="U138" i="9"/>
  <c r="T138" i="9"/>
  <c r="Q138" i="9"/>
  <c r="R138" i="9" s="1"/>
  <c r="U137" i="9"/>
  <c r="T137" i="9"/>
  <c r="V137" i="9" s="1"/>
  <c r="Q137" i="9"/>
  <c r="R137" i="9" s="1"/>
  <c r="U136" i="9"/>
  <c r="T136" i="9"/>
  <c r="V136" i="9" s="1"/>
  <c r="Q136" i="9"/>
  <c r="R136" i="9" s="1"/>
  <c r="U135" i="9"/>
  <c r="T135" i="9"/>
  <c r="V135" i="9" s="1"/>
  <c r="Q135" i="9"/>
  <c r="R135" i="9" s="1"/>
  <c r="U134" i="9"/>
  <c r="T134" i="9"/>
  <c r="V134" i="9" s="1"/>
  <c r="Q134" i="9"/>
  <c r="R134" i="9" s="1"/>
  <c r="U133" i="9"/>
  <c r="T133" i="9"/>
  <c r="Q133" i="9"/>
  <c r="R133" i="9" s="1"/>
  <c r="U132" i="9"/>
  <c r="T132" i="9"/>
  <c r="V132" i="9" s="1"/>
  <c r="Q132" i="9"/>
  <c r="R132" i="9" s="1"/>
  <c r="U131" i="9"/>
  <c r="T131" i="9"/>
  <c r="Q131" i="9"/>
  <c r="R131" i="9" s="1"/>
  <c r="U130" i="9"/>
  <c r="T130" i="9"/>
  <c r="V130" i="9" s="1"/>
  <c r="Q130" i="9"/>
  <c r="R130" i="9" s="1"/>
  <c r="U129" i="9"/>
  <c r="T129" i="9"/>
  <c r="V129" i="9" s="1"/>
  <c r="Q129" i="9"/>
  <c r="R129" i="9" s="1"/>
  <c r="U128" i="9"/>
  <c r="T128" i="9"/>
  <c r="V128" i="9" s="1"/>
  <c r="Q128" i="9"/>
  <c r="R128" i="9" s="1"/>
  <c r="U127" i="9"/>
  <c r="T127" i="9"/>
  <c r="V127" i="9" s="1"/>
  <c r="Q127" i="9"/>
  <c r="R127" i="9" s="1"/>
  <c r="U126" i="9"/>
  <c r="T126" i="9"/>
  <c r="V126" i="9" s="1"/>
  <c r="Q126" i="9"/>
  <c r="R126" i="9" s="1"/>
  <c r="U125" i="9"/>
  <c r="T125" i="9"/>
  <c r="V125" i="9" s="1"/>
  <c r="Q125" i="9"/>
  <c r="R125" i="9" s="1"/>
  <c r="U124" i="9"/>
  <c r="T124" i="9"/>
  <c r="V124" i="9" s="1"/>
  <c r="Q124" i="9"/>
  <c r="R124" i="9" s="1"/>
  <c r="U123" i="9"/>
  <c r="T123" i="9"/>
  <c r="V123" i="9" s="1"/>
  <c r="Q123" i="9"/>
  <c r="R123" i="9" s="1"/>
  <c r="U122" i="9"/>
  <c r="T122" i="9"/>
  <c r="Q122" i="9"/>
  <c r="R122" i="9" s="1"/>
  <c r="U121" i="9"/>
  <c r="T121" i="9"/>
  <c r="V121" i="9" s="1"/>
  <c r="Q121" i="9"/>
  <c r="R121" i="9" s="1"/>
  <c r="U120" i="9"/>
  <c r="T120" i="9"/>
  <c r="V120" i="9" s="1"/>
  <c r="Q120" i="9"/>
  <c r="R120" i="9" s="1"/>
  <c r="U119" i="9"/>
  <c r="T119" i="9"/>
  <c r="V119" i="9" s="1"/>
  <c r="Q119" i="9"/>
  <c r="R119" i="9" s="1"/>
  <c r="U118" i="9"/>
  <c r="T118" i="9"/>
  <c r="V118" i="9" s="1"/>
  <c r="Q118" i="9"/>
  <c r="R118" i="9" s="1"/>
  <c r="U117" i="9"/>
  <c r="T117" i="9"/>
  <c r="V117" i="9" s="1"/>
  <c r="Q117" i="9"/>
  <c r="R117" i="9" s="1"/>
  <c r="U116" i="9"/>
  <c r="T116" i="9"/>
  <c r="V116" i="9" s="1"/>
  <c r="Q116" i="9"/>
  <c r="R116" i="9" s="1"/>
  <c r="U115" i="9"/>
  <c r="T115" i="9"/>
  <c r="V115" i="9" s="1"/>
  <c r="Q115" i="9"/>
  <c r="R115" i="9" s="1"/>
  <c r="U114" i="9"/>
  <c r="T114" i="9"/>
  <c r="Q114" i="9"/>
  <c r="Q113" i="9"/>
  <c r="R113" i="9" s="1"/>
  <c r="U67" i="9"/>
  <c r="T67" i="9"/>
  <c r="O67" i="9"/>
  <c r="Q67" i="9" s="1"/>
  <c r="R67" i="9" s="1"/>
  <c r="F67" i="9"/>
  <c r="U66" i="9"/>
  <c r="T66" i="9"/>
  <c r="O66" i="9"/>
  <c r="Q66" i="9" s="1"/>
  <c r="R66" i="9" s="1"/>
  <c r="F66" i="9"/>
  <c r="U65" i="9"/>
  <c r="T65" i="9"/>
  <c r="O65" i="9"/>
  <c r="Q65" i="9" s="1"/>
  <c r="R65" i="9" s="1"/>
  <c r="F65" i="9"/>
  <c r="U64" i="9"/>
  <c r="T64" i="9"/>
  <c r="V64" i="9" s="1"/>
  <c r="X64" i="9" s="1"/>
  <c r="O64" i="9"/>
  <c r="Q64" i="9" s="1"/>
  <c r="R64" i="9" s="1"/>
  <c r="F64" i="9"/>
  <c r="U63" i="9"/>
  <c r="T63" i="9"/>
  <c r="V63" i="9" s="1"/>
  <c r="X63" i="9" s="1"/>
  <c r="O63" i="9"/>
  <c r="Q63" i="9" s="1"/>
  <c r="R63" i="9" s="1"/>
  <c r="F63" i="9"/>
  <c r="U62" i="9"/>
  <c r="T62" i="9"/>
  <c r="O62" i="9"/>
  <c r="Q62" i="9" s="1"/>
  <c r="R62" i="9" s="1"/>
  <c r="F62" i="9"/>
  <c r="U61" i="9"/>
  <c r="T61" i="9"/>
  <c r="V61" i="9" s="1"/>
  <c r="X61" i="9" s="1"/>
  <c r="F61" i="9"/>
  <c r="U60" i="9"/>
  <c r="T60" i="9"/>
  <c r="F60" i="9"/>
  <c r="U59" i="9"/>
  <c r="T59" i="9"/>
  <c r="O59" i="9"/>
  <c r="Q59" i="9" s="1"/>
  <c r="R59" i="9" s="1"/>
  <c r="F59" i="9"/>
  <c r="U58" i="9"/>
  <c r="T58" i="9"/>
  <c r="V58" i="9" s="1"/>
  <c r="X58" i="9" s="1"/>
  <c r="O58" i="9"/>
  <c r="Q58" i="9" s="1"/>
  <c r="R58" i="9" s="1"/>
  <c r="F58" i="9"/>
  <c r="U57" i="9"/>
  <c r="T57" i="9"/>
  <c r="O57" i="9"/>
  <c r="Q57" i="9" s="1"/>
  <c r="R57" i="9" s="1"/>
  <c r="F57" i="9"/>
  <c r="U56" i="9"/>
  <c r="T56" i="9"/>
  <c r="R56" i="9"/>
  <c r="O56" i="9"/>
  <c r="Q56" i="9" s="1"/>
  <c r="F56" i="9"/>
  <c r="U55" i="9"/>
  <c r="T55" i="9"/>
  <c r="F55" i="9"/>
  <c r="U54" i="9"/>
  <c r="T54" i="9"/>
  <c r="O54" i="9"/>
  <c r="Q54" i="9" s="1"/>
  <c r="R54" i="9" s="1"/>
  <c r="F54" i="9"/>
  <c r="U53" i="9"/>
  <c r="T53" i="9"/>
  <c r="V53" i="9" s="1"/>
  <c r="X53" i="9" s="1"/>
  <c r="O53" i="9"/>
  <c r="Q53" i="9" s="1"/>
  <c r="R53" i="9" s="1"/>
  <c r="F53" i="9"/>
  <c r="U52" i="9"/>
  <c r="T52" i="9"/>
  <c r="O52" i="9"/>
  <c r="Q52" i="9" s="1"/>
  <c r="R52" i="9" s="1"/>
  <c r="F52" i="9"/>
  <c r="U51" i="9"/>
  <c r="T51" i="9"/>
  <c r="V51" i="9" s="1"/>
  <c r="X51" i="9" s="1"/>
  <c r="O51" i="9"/>
  <c r="Q51" i="9" s="1"/>
  <c r="R51" i="9" s="1"/>
  <c r="F51" i="9"/>
  <c r="U50" i="9"/>
  <c r="T50" i="9"/>
  <c r="O50" i="9"/>
  <c r="Q50" i="9" s="1"/>
  <c r="R50" i="9" s="1"/>
  <c r="F50" i="9"/>
  <c r="U49" i="9"/>
  <c r="T49" i="9"/>
  <c r="V49" i="9" s="1"/>
  <c r="X49" i="9" s="1"/>
  <c r="O49" i="9"/>
  <c r="Q49" i="9" s="1"/>
  <c r="R49" i="9" s="1"/>
  <c r="F49" i="9"/>
  <c r="U48" i="9"/>
  <c r="T48" i="9"/>
  <c r="O48" i="9"/>
  <c r="Q48" i="9" s="1"/>
  <c r="R48" i="9" s="1"/>
  <c r="F48" i="9"/>
  <c r="U47" i="9"/>
  <c r="T47" i="9"/>
  <c r="F47" i="9"/>
  <c r="U46" i="9"/>
  <c r="T46" i="9"/>
  <c r="O46" i="9"/>
  <c r="Q46" i="9" s="1"/>
  <c r="R46" i="9" s="1"/>
  <c r="F46" i="9"/>
  <c r="U45" i="9"/>
  <c r="T45" i="9"/>
  <c r="V45" i="9" s="1"/>
  <c r="X45" i="9" s="1"/>
  <c r="F45" i="9"/>
  <c r="U44" i="9"/>
  <c r="T44" i="9"/>
  <c r="O44" i="9"/>
  <c r="Q44" i="9" s="1"/>
  <c r="R44" i="9" s="1"/>
  <c r="F44" i="9"/>
  <c r="U43" i="9"/>
  <c r="T43" i="9"/>
  <c r="O43" i="9"/>
  <c r="Q43" i="9" s="1"/>
  <c r="R43" i="9" s="1"/>
  <c r="F43" i="9"/>
  <c r="U42" i="9"/>
  <c r="T42" i="9"/>
  <c r="O42" i="9"/>
  <c r="Q42" i="9" s="1"/>
  <c r="R42" i="9" s="1"/>
  <c r="F42" i="9"/>
  <c r="U41" i="9"/>
  <c r="T41" i="9"/>
  <c r="V41" i="9" s="1"/>
  <c r="X41" i="9" s="1"/>
  <c r="O41" i="9"/>
  <c r="Q41" i="9" s="1"/>
  <c r="R41" i="9" s="1"/>
  <c r="F41" i="9"/>
  <c r="U40" i="9"/>
  <c r="T40" i="9"/>
  <c r="O40" i="9"/>
  <c r="Q40" i="9" s="1"/>
  <c r="R40" i="9" s="1"/>
  <c r="F40" i="9"/>
  <c r="U39" i="9"/>
  <c r="T39" i="9"/>
  <c r="V39" i="9" s="1"/>
  <c r="X39" i="9" s="1"/>
  <c r="Q39" i="9"/>
  <c r="R39" i="9" s="1"/>
  <c r="O39" i="9"/>
  <c r="F39" i="9"/>
  <c r="U38" i="9"/>
  <c r="T38" i="9"/>
  <c r="V38" i="9" s="1"/>
  <c r="X38" i="9" s="1"/>
  <c r="O38" i="9"/>
  <c r="Q38" i="9" s="1"/>
  <c r="R38" i="9" s="1"/>
  <c r="F38" i="9"/>
  <c r="U37" i="9"/>
  <c r="T37" i="9"/>
  <c r="V37" i="9" s="1"/>
  <c r="X37" i="9" s="1"/>
  <c r="O37" i="9"/>
  <c r="Q37" i="9" s="1"/>
  <c r="R37" i="9" s="1"/>
  <c r="U108" i="9"/>
  <c r="T108" i="9"/>
  <c r="X108" i="9" s="1"/>
  <c r="P108" i="9"/>
  <c r="R108" i="9" s="1"/>
  <c r="S108" i="9" s="1"/>
  <c r="U107" i="9"/>
  <c r="T107" i="9"/>
  <c r="P107" i="9"/>
  <c r="R107" i="9" s="1"/>
  <c r="S107" i="9" s="1"/>
  <c r="I107" i="9"/>
  <c r="U106" i="9"/>
  <c r="T106" i="9"/>
  <c r="P106" i="9"/>
  <c r="R106" i="9" s="1"/>
  <c r="S106" i="9" s="1"/>
  <c r="U105" i="9"/>
  <c r="T105" i="9"/>
  <c r="P105" i="9"/>
  <c r="R105" i="9" s="1"/>
  <c r="S105" i="9" s="1"/>
  <c r="I105" i="9"/>
  <c r="U104" i="9"/>
  <c r="T104" i="9"/>
  <c r="P104" i="9"/>
  <c r="R104" i="9" s="1"/>
  <c r="S104" i="9" s="1"/>
  <c r="U103" i="9"/>
  <c r="T103" i="9"/>
  <c r="P103" i="9"/>
  <c r="R103" i="9" s="1"/>
  <c r="S103" i="9" s="1"/>
  <c r="I103" i="9"/>
  <c r="U102" i="9"/>
  <c r="T102" i="9"/>
  <c r="P102" i="9"/>
  <c r="R102" i="9" s="1"/>
  <c r="S102" i="9" s="1"/>
  <c r="U101" i="9"/>
  <c r="T101" i="9"/>
  <c r="P101" i="9"/>
  <c r="R101" i="9" s="1"/>
  <c r="S101" i="9" s="1"/>
  <c r="O101" i="9"/>
  <c r="N101" i="9"/>
  <c r="I101" i="9"/>
  <c r="U100" i="9"/>
  <c r="T100" i="9"/>
  <c r="P100" i="9"/>
  <c r="R100" i="9" s="1"/>
  <c r="S100" i="9" s="1"/>
  <c r="O100" i="9"/>
  <c r="N100" i="9"/>
  <c r="U99" i="9"/>
  <c r="T99" i="9"/>
  <c r="P99" i="9"/>
  <c r="R99" i="9" s="1"/>
  <c r="S99" i="9" s="1"/>
  <c r="O99" i="9"/>
  <c r="N99" i="9"/>
  <c r="I99" i="9"/>
  <c r="U98" i="9"/>
  <c r="T98" i="9"/>
  <c r="P98" i="9"/>
  <c r="R98" i="9" s="1"/>
  <c r="S98" i="9" s="1"/>
  <c r="O98" i="9"/>
  <c r="N98" i="9"/>
  <c r="I98" i="9"/>
  <c r="U97" i="9"/>
  <c r="T97" i="9"/>
  <c r="P97" i="9"/>
  <c r="R97" i="9" s="1"/>
  <c r="S97" i="9" s="1"/>
  <c r="O97" i="9"/>
  <c r="N97" i="9"/>
  <c r="I97" i="9"/>
  <c r="U96" i="9"/>
  <c r="T96" i="9"/>
  <c r="P96" i="9"/>
  <c r="R96" i="9" s="1"/>
  <c r="S96" i="9" s="1"/>
  <c r="O96" i="9"/>
  <c r="N96" i="9"/>
  <c r="I96" i="9"/>
  <c r="U95" i="9"/>
  <c r="T95" i="9"/>
  <c r="P95" i="9"/>
  <c r="R95" i="9" s="1"/>
  <c r="S95" i="9" s="1"/>
  <c r="O95" i="9"/>
  <c r="N95" i="9"/>
  <c r="I95" i="9"/>
  <c r="U94" i="9"/>
  <c r="P94" i="9"/>
  <c r="R94" i="9" s="1"/>
  <c r="S94" i="9" s="1"/>
  <c r="O94" i="9"/>
  <c r="N94" i="9"/>
  <c r="U93" i="9"/>
  <c r="P93" i="9"/>
  <c r="R93" i="9" s="1"/>
  <c r="S93" i="9" s="1"/>
  <c r="O93" i="9"/>
  <c r="N93" i="9"/>
  <c r="I93" i="9"/>
  <c r="U92" i="9"/>
  <c r="P92" i="9"/>
  <c r="R92" i="9" s="1"/>
  <c r="S92" i="9" s="1"/>
  <c r="O92" i="9"/>
  <c r="N92" i="9"/>
  <c r="I92" i="9"/>
  <c r="U91" i="9"/>
  <c r="T91" i="9"/>
  <c r="P91" i="9"/>
  <c r="O91" i="9"/>
  <c r="N91" i="9"/>
  <c r="U90" i="9"/>
  <c r="T90" i="9"/>
  <c r="R90" i="9"/>
  <c r="S90" i="9" s="1"/>
  <c r="P90" i="9"/>
  <c r="O90" i="9"/>
  <c r="N90" i="9"/>
  <c r="U89" i="9"/>
  <c r="T89" i="9"/>
  <c r="R89" i="9"/>
  <c r="S89" i="9" s="1"/>
  <c r="P89" i="9"/>
  <c r="O89" i="9"/>
  <c r="N89" i="9"/>
  <c r="I89" i="9"/>
  <c r="U88" i="9"/>
  <c r="T88" i="9"/>
  <c r="P88" i="9"/>
  <c r="R88" i="9" s="1"/>
  <c r="S88" i="9" s="1"/>
  <c r="O88" i="9"/>
  <c r="N88" i="9"/>
  <c r="U87" i="9"/>
  <c r="T87" i="9"/>
  <c r="P87" i="9"/>
  <c r="R87" i="9" s="1"/>
  <c r="S87" i="9" s="1"/>
  <c r="O87" i="9"/>
  <c r="N87" i="9"/>
  <c r="I87" i="9"/>
  <c r="U86" i="9"/>
  <c r="T86" i="9"/>
  <c r="R86" i="9"/>
  <c r="S86" i="9" s="1"/>
  <c r="P86" i="9"/>
  <c r="O86" i="9"/>
  <c r="N86" i="9"/>
  <c r="U85" i="9"/>
  <c r="T85" i="9"/>
  <c r="R85" i="9"/>
  <c r="S85" i="9" s="1"/>
  <c r="P85" i="9"/>
  <c r="O85" i="9"/>
  <c r="N85" i="9"/>
  <c r="I85" i="9"/>
  <c r="U84" i="9"/>
  <c r="T84" i="9"/>
  <c r="P84" i="9"/>
  <c r="R84" i="9" s="1"/>
  <c r="S84" i="9" s="1"/>
  <c r="O84" i="9"/>
  <c r="N84" i="9"/>
  <c r="U83" i="9"/>
  <c r="T83" i="9"/>
  <c r="P83" i="9"/>
  <c r="R83" i="9" s="1"/>
  <c r="S83" i="9" s="1"/>
  <c r="O83" i="9"/>
  <c r="N83" i="9"/>
  <c r="I83" i="9"/>
  <c r="U82" i="9"/>
  <c r="T82" i="9"/>
  <c r="R82" i="9"/>
  <c r="S82" i="9" s="1"/>
  <c r="P82" i="9"/>
  <c r="O82" i="9"/>
  <c r="N82" i="9"/>
  <c r="U81" i="9"/>
  <c r="T81" i="9"/>
  <c r="R81" i="9"/>
  <c r="S81" i="9" s="1"/>
  <c r="P81" i="9"/>
  <c r="O81" i="9"/>
  <c r="N81" i="9"/>
  <c r="I81" i="9"/>
  <c r="U80" i="9"/>
  <c r="T80" i="9"/>
  <c r="P80" i="9"/>
  <c r="R80" i="9" s="1"/>
  <c r="S80" i="9" s="1"/>
  <c r="O80" i="9"/>
  <c r="N80" i="9"/>
  <c r="U79" i="9"/>
  <c r="T79" i="9"/>
  <c r="P79" i="9"/>
  <c r="R79" i="9" s="1"/>
  <c r="S79" i="9" s="1"/>
  <c r="O79" i="9"/>
  <c r="N79" i="9"/>
  <c r="I79" i="9"/>
  <c r="R78" i="9"/>
  <c r="O78" i="9"/>
  <c r="N78" i="9"/>
  <c r="I78" i="9"/>
  <c r="Y77" i="9"/>
  <c r="L185" i="9"/>
  <c r="L184" i="9"/>
  <c r="L183" i="9"/>
  <c r="L182" i="9"/>
  <c r="F68" i="9"/>
  <c r="O68" i="9"/>
  <c r="Q68" i="9"/>
  <c r="R68" i="9" s="1"/>
  <c r="S68" i="9"/>
  <c r="T68" i="9"/>
  <c r="U68" i="9" s="1"/>
  <c r="W68" i="9" s="1"/>
  <c r="F69" i="9"/>
  <c r="O69" i="9"/>
  <c r="Q69" i="9" s="1"/>
  <c r="R69" i="9" s="1"/>
  <c r="S69" i="9"/>
  <c r="T69" i="9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T113" i="9" l="1"/>
  <c r="V113" i="9" s="1"/>
  <c r="X113" i="9" s="1"/>
  <c r="F113" i="9"/>
  <c r="R114" i="9"/>
  <c r="R144" i="9" s="1"/>
  <c r="Q144" i="9"/>
  <c r="S78" i="9"/>
  <c r="P109" i="9"/>
  <c r="X107" i="9"/>
  <c r="Y107" i="9" s="1"/>
  <c r="V66" i="9"/>
  <c r="X66" i="9" s="1"/>
  <c r="V142" i="9"/>
  <c r="V67" i="9"/>
  <c r="X67" i="9" s="1"/>
  <c r="O181" i="9"/>
  <c r="O144" i="9"/>
  <c r="X78" i="9"/>
  <c r="Y78" i="9" s="1"/>
  <c r="X80" i="9"/>
  <c r="Y80" i="9" s="1"/>
  <c r="X82" i="9"/>
  <c r="Y82" i="9" s="1"/>
  <c r="X84" i="9"/>
  <c r="Y84" i="9" s="1"/>
  <c r="X86" i="9"/>
  <c r="Y86" i="9" s="1"/>
  <c r="X88" i="9"/>
  <c r="Y88" i="9" s="1"/>
  <c r="X90" i="9"/>
  <c r="X93" i="9"/>
  <c r="X94" i="9"/>
  <c r="X100" i="9"/>
  <c r="Y100" i="9" s="1"/>
  <c r="X102" i="9"/>
  <c r="Y102" i="9" s="1"/>
  <c r="X104" i="9"/>
  <c r="Y104" i="9" s="1"/>
  <c r="X106" i="9"/>
  <c r="Y106" i="9" s="1"/>
  <c r="V65" i="9"/>
  <c r="X65" i="9" s="1"/>
  <c r="V138" i="9"/>
  <c r="V62" i="9"/>
  <c r="X62" i="9" s="1"/>
  <c r="V59" i="9"/>
  <c r="X59" i="9" s="1"/>
  <c r="V133" i="9"/>
  <c r="V57" i="9"/>
  <c r="X57" i="9" s="1"/>
  <c r="V131" i="9"/>
  <c r="V55" i="9"/>
  <c r="X55" i="9" s="1"/>
  <c r="V54" i="9"/>
  <c r="X54" i="9" s="1"/>
  <c r="V50" i="9"/>
  <c r="X50" i="9" s="1"/>
  <c r="V47" i="9"/>
  <c r="X47" i="9" s="1"/>
  <c r="V122" i="9"/>
  <c r="V46" i="9"/>
  <c r="X46" i="9" s="1"/>
  <c r="F181" i="9"/>
  <c r="V43" i="9"/>
  <c r="X43" i="9" s="1"/>
  <c r="V42" i="9"/>
  <c r="X42" i="9" s="1"/>
  <c r="V114" i="9"/>
  <c r="H150" i="9"/>
  <c r="H181" i="9" s="1"/>
  <c r="Q150" i="9"/>
  <c r="X79" i="9"/>
  <c r="Y79" i="9" s="1"/>
  <c r="X81" i="9"/>
  <c r="Y81" i="9" s="1"/>
  <c r="X83" i="9"/>
  <c r="Y83" i="9" s="1"/>
  <c r="X85" i="9"/>
  <c r="Y85" i="9" s="1"/>
  <c r="X87" i="9"/>
  <c r="Y87" i="9" s="1"/>
  <c r="X89" i="9"/>
  <c r="X91" i="9"/>
  <c r="X92" i="9"/>
  <c r="X95" i="9"/>
  <c r="Y95" i="9" s="1"/>
  <c r="X96" i="9"/>
  <c r="Y96" i="9" s="1"/>
  <c r="X97" i="9"/>
  <c r="Y97" i="9" s="1"/>
  <c r="X98" i="9"/>
  <c r="X99" i="9"/>
  <c r="Y99" i="9" s="1"/>
  <c r="X101" i="9"/>
  <c r="Y101" i="9" s="1"/>
  <c r="X103" i="9"/>
  <c r="Y103" i="9" s="1"/>
  <c r="X105" i="9"/>
  <c r="U69" i="9"/>
  <c r="W69" i="9" s="1"/>
  <c r="X69" i="9" s="1"/>
  <c r="V40" i="9"/>
  <c r="X40" i="9" s="1"/>
  <c r="V44" i="9"/>
  <c r="X44" i="9" s="1"/>
  <c r="V48" i="9"/>
  <c r="X48" i="9" s="1"/>
  <c r="V52" i="9"/>
  <c r="X52" i="9" s="1"/>
  <c r="V56" i="9"/>
  <c r="X56" i="9" s="1"/>
  <c r="V60" i="9"/>
  <c r="X60" i="9" s="1"/>
  <c r="I91" i="9"/>
  <c r="I109" i="9" s="1"/>
  <c r="R91" i="9"/>
  <c r="S91" i="9" s="1"/>
  <c r="T70" i="9"/>
  <c r="U70" i="9" s="1"/>
  <c r="W70" i="9" s="1"/>
  <c r="T71" i="9"/>
  <c r="S71" i="9"/>
  <c r="U71" i="9" s="1"/>
  <c r="W71" i="9" s="1"/>
  <c r="S70" i="9"/>
  <c r="F70" i="9"/>
  <c r="F71" i="9"/>
  <c r="O33" i="9"/>
  <c r="Q33" i="9" s="1"/>
  <c r="R33" i="9" s="1"/>
  <c r="H113" i="9" l="1"/>
  <c r="H144" i="9" s="1"/>
  <c r="F144" i="9"/>
  <c r="R109" i="9"/>
  <c r="S109" i="9"/>
  <c r="Y89" i="9"/>
  <c r="R150" i="9"/>
  <c r="U13" i="9" l="1"/>
  <c r="T13" i="9"/>
  <c r="F19" i="9"/>
  <c r="H19" i="9" s="1"/>
  <c r="V13" i="9" l="1"/>
  <c r="V110" i="9" l="1"/>
  <c r="O70" i="9" l="1"/>
  <c r="Q70" i="9" s="1"/>
  <c r="O71" i="9"/>
  <c r="Q71" i="9" s="1"/>
  <c r="R71" i="9" s="1"/>
  <c r="R70" i="9" l="1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Q20" i="9" s="1"/>
  <c r="O21" i="9"/>
  <c r="Q21" i="9" s="1"/>
  <c r="R21" i="9" s="1"/>
  <c r="O22" i="9"/>
  <c r="Q22" i="9" s="1"/>
  <c r="R22" i="9" s="1"/>
  <c r="O23" i="9"/>
  <c r="Q23" i="9" s="1"/>
  <c r="R23" i="9" s="1"/>
  <c r="O24" i="9"/>
  <c r="Q24" i="9" s="1"/>
  <c r="R24" i="9" s="1"/>
  <c r="O25" i="9"/>
  <c r="Q25" i="9" s="1"/>
  <c r="R25" i="9" s="1"/>
  <c r="O26" i="9"/>
  <c r="Q26" i="9" s="1"/>
  <c r="R26" i="9" s="1"/>
  <c r="O27" i="9"/>
  <c r="Q27" i="9" s="1"/>
  <c r="R27" i="9" s="1"/>
  <c r="O28" i="9"/>
  <c r="Q28" i="9" s="1"/>
  <c r="R28" i="9" s="1"/>
  <c r="O29" i="9"/>
  <c r="Q29" i="9" s="1"/>
  <c r="R29" i="9" s="1"/>
  <c r="O30" i="9"/>
  <c r="Q30" i="9" s="1"/>
  <c r="R30" i="9" s="1"/>
  <c r="O31" i="9"/>
  <c r="Q31" i="9" s="1"/>
  <c r="R31" i="9" s="1"/>
  <c r="O32" i="9"/>
  <c r="Q32" i="9" s="1"/>
  <c r="R32" i="9" s="1"/>
  <c r="O3" i="9"/>
  <c r="O34" i="9" l="1"/>
  <c r="R20" i="9"/>
  <c r="U4" i="9" l="1"/>
  <c r="U5" i="9"/>
  <c r="U6" i="9"/>
  <c r="U7" i="9"/>
  <c r="U8" i="9"/>
  <c r="U9" i="9"/>
  <c r="U10" i="9"/>
  <c r="U11" i="9"/>
  <c r="U12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" i="9"/>
  <c r="T4" i="9"/>
  <c r="T5" i="9"/>
  <c r="T6" i="9"/>
  <c r="T7" i="9"/>
  <c r="T8" i="9"/>
  <c r="T9" i="9"/>
  <c r="T10" i="9"/>
  <c r="T11" i="9"/>
  <c r="T12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" i="9"/>
  <c r="F3" i="9"/>
  <c r="H3" i="9" s="1"/>
  <c r="V32" i="9" l="1"/>
  <c r="V30" i="9"/>
  <c r="V28" i="9"/>
  <c r="V26" i="9"/>
  <c r="V24" i="9"/>
  <c r="V22" i="9"/>
  <c r="V20" i="9"/>
  <c r="V18" i="9"/>
  <c r="V16" i="9"/>
  <c r="V14" i="9"/>
  <c r="V12" i="9"/>
  <c r="V10" i="9"/>
  <c r="V8" i="9"/>
  <c r="V6" i="9"/>
  <c r="V4" i="9"/>
  <c r="V3" i="9"/>
  <c r="X3" i="9" s="1"/>
  <c r="V31" i="9"/>
  <c r="X31" i="9" s="1"/>
  <c r="V29" i="9"/>
  <c r="V27" i="9"/>
  <c r="V25" i="9"/>
  <c r="V23" i="9"/>
  <c r="X23" i="9" s="1"/>
  <c r="V21" i="9"/>
  <c r="V19" i="9"/>
  <c r="V17" i="9"/>
  <c r="V15" i="9"/>
  <c r="V11" i="9"/>
  <c r="V9" i="9"/>
  <c r="V7" i="9"/>
  <c r="V5" i="9"/>
  <c r="X70" i="9"/>
  <c r="F33" i="9"/>
  <c r="H33" i="9" s="1"/>
  <c r="F32" i="9"/>
  <c r="H32" i="9" s="1"/>
  <c r="F31" i="9"/>
  <c r="H31" i="9" s="1"/>
  <c r="F30" i="9"/>
  <c r="H30" i="9" s="1"/>
  <c r="F29" i="9"/>
  <c r="H29" i="9" s="1"/>
  <c r="F28" i="9"/>
  <c r="H28" i="9" s="1"/>
  <c r="F27" i="9"/>
  <c r="H27" i="9" s="1"/>
  <c r="F26" i="9"/>
  <c r="H26" i="9" s="1"/>
  <c r="F25" i="9"/>
  <c r="H25" i="9" s="1"/>
  <c r="F24" i="9"/>
  <c r="H24" i="9" s="1"/>
  <c r="F23" i="9"/>
  <c r="H23" i="9" s="1"/>
  <c r="F22" i="9"/>
  <c r="H22" i="9" s="1"/>
  <c r="F21" i="9"/>
  <c r="H21" i="9" s="1"/>
  <c r="F20" i="9"/>
  <c r="H20" i="9" s="1"/>
  <c r="Q19" i="9"/>
  <c r="R19" i="9" s="1"/>
  <c r="Q18" i="9"/>
  <c r="R18" i="9" s="1"/>
  <c r="F18" i="9"/>
  <c r="H18" i="9" s="1"/>
  <c r="Q17" i="9"/>
  <c r="R17" i="9" s="1"/>
  <c r="F17" i="9"/>
  <c r="H17" i="9" s="1"/>
  <c r="Q16" i="9"/>
  <c r="R16" i="9" s="1"/>
  <c r="F16" i="9"/>
  <c r="H16" i="9" s="1"/>
  <c r="Q15" i="9"/>
  <c r="R15" i="9" s="1"/>
  <c r="F15" i="9"/>
  <c r="H15" i="9" s="1"/>
  <c r="Q14" i="9"/>
  <c r="R14" i="9" s="1"/>
  <c r="F14" i="9"/>
  <c r="H14" i="9" s="1"/>
  <c r="Q13" i="9"/>
  <c r="F13" i="9"/>
  <c r="H13" i="9" s="1"/>
  <c r="Q12" i="9"/>
  <c r="R12" i="9" s="1"/>
  <c r="F12" i="9"/>
  <c r="H12" i="9" s="1"/>
  <c r="Q11" i="9"/>
  <c r="R11" i="9" s="1"/>
  <c r="F11" i="9"/>
  <c r="H11" i="9" s="1"/>
  <c r="Q10" i="9"/>
  <c r="R10" i="9" s="1"/>
  <c r="F10" i="9"/>
  <c r="H10" i="9" s="1"/>
  <c r="Q9" i="9"/>
  <c r="R9" i="9" s="1"/>
  <c r="F9" i="9"/>
  <c r="H9" i="9" s="1"/>
  <c r="Q8" i="9"/>
  <c r="R8" i="9" s="1"/>
  <c r="F8" i="9"/>
  <c r="H8" i="9" s="1"/>
  <c r="Q7" i="9"/>
  <c r="R7" i="9" s="1"/>
  <c r="F7" i="9"/>
  <c r="H7" i="9" s="1"/>
  <c r="Q6" i="9"/>
  <c r="R6" i="9" s="1"/>
  <c r="F6" i="9"/>
  <c r="H6" i="9" s="1"/>
  <c r="Q5" i="9"/>
  <c r="R5" i="9" s="1"/>
  <c r="F5" i="9"/>
  <c r="H5" i="9" s="1"/>
  <c r="Q4" i="9"/>
  <c r="R4" i="9" s="1"/>
  <c r="F4" i="9"/>
  <c r="H4" i="9" s="1"/>
  <c r="Q3" i="9"/>
  <c r="H34" i="9" l="1"/>
  <c r="R13" i="9"/>
  <c r="X7" i="9"/>
  <c r="X8" i="9"/>
  <c r="X15" i="9"/>
  <c r="X4" i="9"/>
  <c r="X11" i="9"/>
  <c r="X12" i="9"/>
  <c r="F34" i="9"/>
  <c r="X5" i="9"/>
  <c r="X6" i="9"/>
  <c r="X9" i="9"/>
  <c r="X10" i="9"/>
  <c r="X13" i="9"/>
  <c r="X14" i="9"/>
  <c r="X17" i="9"/>
  <c r="X18" i="9"/>
  <c r="X19" i="9"/>
  <c r="X21" i="9"/>
  <c r="X22" i="9"/>
  <c r="X25" i="9"/>
  <c r="X26" i="9"/>
  <c r="X27" i="9"/>
  <c r="X29" i="9"/>
  <c r="X30" i="9"/>
  <c r="V33" i="9"/>
  <c r="X33" i="9" s="1"/>
  <c r="R3" i="9"/>
  <c r="X16" i="9"/>
  <c r="X20" i="9"/>
  <c r="X24" i="9"/>
  <c r="X28" i="9"/>
  <c r="X32" i="9"/>
  <c r="AC15" i="1" l="1"/>
  <c r="AA15" i="1"/>
  <c r="J33" i="1"/>
  <c r="U14" i="1"/>
  <c r="T14" i="1"/>
  <c r="W14" i="1" s="1"/>
  <c r="S14" i="1"/>
  <c r="V14" i="1" s="1"/>
  <c r="R14" i="1"/>
  <c r="U13" i="1"/>
  <c r="T13" i="1"/>
  <c r="W13" i="1" s="1"/>
  <c r="S13" i="1"/>
  <c r="V13" i="1" s="1"/>
  <c r="R13" i="1"/>
  <c r="U12" i="1"/>
  <c r="T12" i="1"/>
  <c r="W12" i="1" s="1"/>
  <c r="S12" i="1"/>
  <c r="V12" i="1" s="1"/>
  <c r="R12" i="1"/>
  <c r="U11" i="1"/>
  <c r="T11" i="1"/>
  <c r="W11" i="1" s="1"/>
  <c r="S11" i="1"/>
  <c r="V11" i="1" s="1"/>
  <c r="R11" i="1"/>
  <c r="U10" i="1"/>
  <c r="T10" i="1"/>
  <c r="W10" i="1" s="1"/>
  <c r="S10" i="1"/>
  <c r="V10" i="1" s="1"/>
  <c r="R10" i="1"/>
  <c r="U9" i="1"/>
  <c r="T9" i="1"/>
  <c r="W9" i="1" s="1"/>
  <c r="S9" i="1"/>
  <c r="V9" i="1" s="1"/>
  <c r="R9" i="1"/>
  <c r="U8" i="1"/>
  <c r="T8" i="1"/>
  <c r="W8" i="1" s="1"/>
  <c r="S8" i="1"/>
  <c r="V8" i="1" s="1"/>
  <c r="R8" i="1"/>
  <c r="U7" i="1"/>
  <c r="X7" i="1" s="1"/>
  <c r="T7" i="1"/>
  <c r="W7" i="1" s="1"/>
  <c r="S7" i="1"/>
  <c r="V7" i="1" s="1"/>
  <c r="R7" i="1"/>
  <c r="U6" i="1"/>
  <c r="T6" i="1"/>
  <c r="W6" i="1" s="1"/>
  <c r="S6" i="1"/>
  <c r="V6" i="1" s="1"/>
  <c r="R6" i="1"/>
  <c r="U5" i="1"/>
  <c r="T5" i="1"/>
  <c r="W5" i="1" s="1"/>
  <c r="S5" i="1"/>
  <c r="V5" i="1" s="1"/>
  <c r="R5" i="1"/>
  <c r="U4" i="1"/>
  <c r="T4" i="1"/>
  <c r="W4" i="1" s="1"/>
  <c r="S4" i="1"/>
  <c r="V4" i="1" s="1"/>
  <c r="R4" i="1"/>
  <c r="V3" i="1"/>
  <c r="U3" i="1"/>
  <c r="T3" i="1"/>
  <c r="W3" i="1" s="1"/>
  <c r="S3" i="1"/>
  <c r="R3" i="1"/>
  <c r="X3" i="1" s="1"/>
  <c r="F33" i="1"/>
  <c r="G33" i="1"/>
  <c r="H33" i="1" s="1"/>
  <c r="X6" i="1" l="1"/>
  <c r="Y6" i="1" s="1"/>
  <c r="Z6" i="1" s="1"/>
  <c r="AA6" i="1" s="1"/>
  <c r="AC6" i="1" s="1"/>
  <c r="X9" i="1"/>
  <c r="X11" i="1"/>
  <c r="X13" i="1"/>
  <c r="X5" i="1"/>
  <c r="X10" i="1"/>
  <c r="Y10" i="1" s="1"/>
  <c r="X12" i="1"/>
  <c r="Y12" i="1" s="1"/>
  <c r="Z12" i="1" s="1"/>
  <c r="AA12" i="1" s="1"/>
  <c r="AC12" i="1" s="1"/>
  <c r="X14" i="1"/>
  <c r="Y14" i="1" s="1"/>
  <c r="Y5" i="1"/>
  <c r="Y9" i="1"/>
  <c r="Y11" i="1"/>
  <c r="Y13" i="1"/>
  <c r="Y3" i="1"/>
  <c r="X4" i="1"/>
  <c r="Y4" i="1" s="1"/>
  <c r="Y7" i="1"/>
  <c r="X8" i="1"/>
  <c r="Y8" i="1" s="1"/>
  <c r="AA5" i="1" l="1"/>
  <c r="AC5" i="1" s="1"/>
  <c r="Z5" i="1"/>
  <c r="Z14" i="1"/>
  <c r="AA14" i="1" s="1"/>
  <c r="AC14" i="1" s="1"/>
  <c r="Z10" i="1"/>
  <c r="AA10" i="1" s="1"/>
  <c r="AC10" i="1" s="1"/>
  <c r="Z8" i="1"/>
  <c r="AA8" i="1" s="1"/>
  <c r="AC8" i="1" s="1"/>
  <c r="Z7" i="1"/>
  <c r="AA7" i="1" s="1"/>
  <c r="AC7" i="1" s="1"/>
  <c r="Z3" i="1"/>
  <c r="AA3" i="1" s="1"/>
  <c r="Z13" i="1"/>
  <c r="AA13" i="1" s="1"/>
  <c r="AC13" i="1" s="1"/>
  <c r="Z9" i="1"/>
  <c r="AA9" i="1" s="1"/>
  <c r="AC9" i="1" s="1"/>
  <c r="Z4" i="1"/>
  <c r="AA4" i="1" s="1"/>
  <c r="AC4" i="1" s="1"/>
  <c r="Z11" i="1"/>
  <c r="AA11" i="1" s="1"/>
  <c r="AC11" i="1" s="1"/>
  <c r="AC3" i="1" l="1"/>
  <c r="E32" i="1" l="1"/>
  <c r="D32" i="1"/>
  <c r="C32" i="1"/>
  <c r="B32" i="1"/>
  <c r="A32" i="1"/>
  <c r="E31" i="1"/>
  <c r="D31" i="1"/>
  <c r="C31" i="1"/>
  <c r="B31" i="1"/>
  <c r="A31" i="1"/>
  <c r="E30" i="1"/>
  <c r="D30" i="1"/>
  <c r="C30" i="1"/>
  <c r="B30" i="1"/>
  <c r="A30" i="1"/>
  <c r="E29" i="1"/>
  <c r="D29" i="1"/>
  <c r="C29" i="1"/>
  <c r="B29" i="1"/>
  <c r="A29" i="1"/>
  <c r="E28" i="1"/>
  <c r="D28" i="1"/>
  <c r="C28" i="1"/>
  <c r="B28" i="1"/>
  <c r="A28" i="1"/>
  <c r="E27" i="1"/>
  <c r="D27" i="1"/>
  <c r="C27" i="1"/>
  <c r="B27" i="1"/>
  <c r="A27" i="1"/>
  <c r="E26" i="1"/>
  <c r="D26" i="1"/>
  <c r="C26" i="1"/>
  <c r="B26" i="1"/>
  <c r="A26" i="1"/>
  <c r="E25" i="1"/>
  <c r="D25" i="1"/>
  <c r="C25" i="1"/>
  <c r="B25" i="1"/>
  <c r="A25" i="1"/>
  <c r="E24" i="1"/>
  <c r="D24" i="1"/>
  <c r="C24" i="1"/>
  <c r="B24" i="1"/>
  <c r="A24" i="1"/>
  <c r="E23" i="1"/>
  <c r="D23" i="1"/>
  <c r="C23" i="1"/>
  <c r="B23" i="1"/>
  <c r="A23" i="1"/>
  <c r="E22" i="1"/>
  <c r="D22" i="1"/>
  <c r="C22" i="1"/>
  <c r="B22" i="1"/>
  <c r="A22" i="1"/>
  <c r="E21" i="1"/>
  <c r="D21" i="1"/>
  <c r="C21" i="1"/>
  <c r="B21" i="1"/>
  <c r="A21" i="1"/>
  <c r="E20" i="1"/>
  <c r="D20" i="1"/>
  <c r="C20" i="1"/>
  <c r="B20" i="1"/>
  <c r="A20" i="1"/>
  <c r="E19" i="1"/>
  <c r="D19" i="1"/>
  <c r="C19" i="1"/>
  <c r="B19" i="1"/>
  <c r="A19" i="1"/>
  <c r="E18" i="1"/>
  <c r="D18" i="1"/>
  <c r="C18" i="1"/>
  <c r="B18" i="1"/>
  <c r="A18" i="1"/>
  <c r="E17" i="1"/>
  <c r="D17" i="1"/>
  <c r="C17" i="1"/>
  <c r="B17" i="1"/>
  <c r="A17" i="1"/>
  <c r="E16" i="1"/>
  <c r="D16" i="1"/>
  <c r="C16" i="1"/>
  <c r="B16" i="1"/>
  <c r="A16" i="1"/>
  <c r="E15" i="1"/>
  <c r="D15" i="1"/>
  <c r="C15" i="1"/>
  <c r="B15" i="1"/>
  <c r="A15" i="1"/>
  <c r="E14" i="1"/>
  <c r="D14" i="1"/>
  <c r="C14" i="1"/>
  <c r="B14" i="1"/>
  <c r="A14" i="1"/>
  <c r="E13" i="1"/>
  <c r="D13" i="1"/>
  <c r="C13" i="1"/>
  <c r="B13" i="1"/>
  <c r="A13" i="1"/>
  <c r="E12" i="1"/>
  <c r="D12" i="1"/>
  <c r="C12" i="1"/>
  <c r="B12" i="1"/>
  <c r="A12" i="1"/>
  <c r="E11" i="1"/>
  <c r="D11" i="1"/>
  <c r="C11" i="1"/>
  <c r="B11" i="1"/>
  <c r="A11" i="1"/>
  <c r="E10" i="1"/>
  <c r="D10" i="1"/>
  <c r="C10" i="1"/>
  <c r="B10" i="1"/>
  <c r="A10" i="1"/>
  <c r="E9" i="1"/>
  <c r="D9" i="1"/>
  <c r="C9" i="1"/>
  <c r="B9" i="1"/>
  <c r="A9" i="1"/>
  <c r="E8" i="1"/>
  <c r="D8" i="1"/>
  <c r="C8" i="1"/>
  <c r="B8" i="1"/>
  <c r="A8" i="1"/>
  <c r="E7" i="1"/>
  <c r="D7" i="1"/>
  <c r="C7" i="1"/>
  <c r="B7" i="1"/>
  <c r="A7" i="1"/>
  <c r="E6" i="1"/>
  <c r="D6" i="1"/>
  <c r="C6" i="1"/>
  <c r="B6" i="1"/>
  <c r="A6" i="1"/>
  <c r="E5" i="1"/>
  <c r="D5" i="1"/>
  <c r="C5" i="1"/>
  <c r="B5" i="1"/>
  <c r="A5" i="1"/>
  <c r="E4" i="1"/>
  <c r="D4" i="1"/>
  <c r="C4" i="1"/>
  <c r="B4" i="1"/>
  <c r="A4" i="1"/>
  <c r="E3" i="1"/>
  <c r="D3" i="1"/>
  <c r="C3" i="1"/>
  <c r="B3" i="1"/>
  <c r="A3" i="1"/>
  <c r="F4" i="1" l="1"/>
  <c r="G4" i="1" s="1"/>
  <c r="H4" i="1" s="1"/>
  <c r="J4" i="1" s="1"/>
  <c r="F6" i="1"/>
  <c r="G6" i="1" s="1"/>
  <c r="F8" i="1"/>
  <c r="G8" i="1" s="1"/>
  <c r="H8" i="1" s="1"/>
  <c r="J8" i="1" s="1"/>
  <c r="F10" i="1"/>
  <c r="F12" i="1"/>
  <c r="G12" i="1" s="1"/>
  <c r="H12" i="1" s="1"/>
  <c r="J12" i="1" s="1"/>
  <c r="F14" i="1"/>
  <c r="G14" i="1" s="1"/>
  <c r="F16" i="1"/>
  <c r="G16" i="1" s="1"/>
  <c r="H16" i="1" s="1"/>
  <c r="J16" i="1" s="1"/>
  <c r="F18" i="1"/>
  <c r="F20" i="1"/>
  <c r="G20" i="1" s="1"/>
  <c r="H20" i="1" s="1"/>
  <c r="J20" i="1" s="1"/>
  <c r="F22" i="1"/>
  <c r="G22" i="1" s="1"/>
  <c r="F24" i="1"/>
  <c r="G24" i="1" s="1"/>
  <c r="H24" i="1" s="1"/>
  <c r="J24" i="1" s="1"/>
  <c r="F26" i="1"/>
  <c r="F28" i="1"/>
  <c r="G28" i="1" s="1"/>
  <c r="H28" i="1" s="1"/>
  <c r="J28" i="1" s="1"/>
  <c r="F30" i="1"/>
  <c r="G30" i="1" s="1"/>
  <c r="F32" i="1"/>
  <c r="G32" i="1" s="1"/>
  <c r="H32" i="1" s="1"/>
  <c r="J32" i="1" s="1"/>
  <c r="F5" i="1"/>
  <c r="F7" i="1"/>
  <c r="F9" i="1"/>
  <c r="F11" i="1"/>
  <c r="F13" i="1"/>
  <c r="F15" i="1"/>
  <c r="F17" i="1"/>
  <c r="F19" i="1"/>
  <c r="G19" i="1" s="1"/>
  <c r="H19" i="1" s="1"/>
  <c r="J19" i="1" s="1"/>
  <c r="F21" i="1"/>
  <c r="F23" i="1"/>
  <c r="G23" i="1" s="1"/>
  <c r="H23" i="1" s="1"/>
  <c r="J23" i="1" s="1"/>
  <c r="F25" i="1"/>
  <c r="G25" i="1" s="1"/>
  <c r="F27" i="1"/>
  <c r="G27" i="1" s="1"/>
  <c r="H27" i="1" s="1"/>
  <c r="J27" i="1" s="1"/>
  <c r="F29" i="1"/>
  <c r="F31" i="1"/>
  <c r="G31" i="1" s="1"/>
  <c r="H31" i="1" s="1"/>
  <c r="J31" i="1" s="1"/>
  <c r="G5" i="1"/>
  <c r="H5" i="1" s="1"/>
  <c r="J5" i="1" s="1"/>
  <c r="G7" i="1"/>
  <c r="H7" i="1" s="1"/>
  <c r="J7" i="1" s="1"/>
  <c r="G9" i="1"/>
  <c r="H9" i="1" s="1"/>
  <c r="J9" i="1" s="1"/>
  <c r="G11" i="1"/>
  <c r="H11" i="1" s="1"/>
  <c r="J11" i="1" s="1"/>
  <c r="G13" i="1"/>
  <c r="H13" i="1" s="1"/>
  <c r="J13" i="1" s="1"/>
  <c r="G15" i="1"/>
  <c r="H15" i="1" s="1"/>
  <c r="J15" i="1" s="1"/>
  <c r="G17" i="1"/>
  <c r="H17" i="1" s="1"/>
  <c r="J17" i="1" s="1"/>
  <c r="F3" i="1"/>
  <c r="H25" i="1" l="1"/>
  <c r="J25" i="1" s="1"/>
  <c r="H30" i="1"/>
  <c r="J30" i="1" s="1"/>
  <c r="H22" i="1"/>
  <c r="J22" i="1" s="1"/>
  <c r="H14" i="1"/>
  <c r="J14" i="1" s="1"/>
  <c r="H6" i="1"/>
  <c r="J6" i="1" s="1"/>
  <c r="G26" i="1"/>
  <c r="H26" i="1" s="1"/>
  <c r="J26" i="1" s="1"/>
  <c r="G18" i="1"/>
  <c r="H18" i="1" s="1"/>
  <c r="J18" i="1" s="1"/>
  <c r="G10" i="1"/>
  <c r="H10" i="1" s="1"/>
  <c r="J10" i="1" s="1"/>
  <c r="G29" i="1"/>
  <c r="H29" i="1" s="1"/>
  <c r="J29" i="1" s="1"/>
  <c r="G21" i="1"/>
  <c r="H21" i="1" s="1"/>
  <c r="J21" i="1" s="1"/>
  <c r="G3" i="1"/>
  <c r="H3" i="1" s="1"/>
  <c r="J3" i="1" l="1"/>
  <c r="J34" i="1" s="1"/>
  <c r="H34" i="1"/>
</calcChain>
</file>

<file path=xl/sharedStrings.xml><?xml version="1.0" encoding="utf-8"?>
<sst xmlns="http://schemas.openxmlformats.org/spreadsheetml/2006/main" count="194" uniqueCount="64">
  <si>
    <t>FECHA DE LIQUIDACION</t>
  </si>
  <si>
    <t>DEB. VENEZUELA (BIOPAGO)</t>
  </si>
  <si>
    <t>MONEDERO</t>
  </si>
  <si>
    <t>TOTALES</t>
  </si>
  <si>
    <t>DEB NETO VENEZUELA (BIOPAGO)</t>
  </si>
  <si>
    <t>MONEDERO NETO</t>
  </si>
  <si>
    <t>TOTAL</t>
  </si>
  <si>
    <t xml:space="preserve">TOTAL </t>
  </si>
  <si>
    <t>TOTAL DISPONIBLE</t>
  </si>
  <si>
    <t>TASA $</t>
  </si>
  <si>
    <t>FECHA</t>
  </si>
  <si>
    <t>BANCO</t>
  </si>
  <si>
    <t>DEBITO NETO</t>
  </si>
  <si>
    <t>ELECTRON</t>
  </si>
  <si>
    <t>CREDITO NETO</t>
  </si>
  <si>
    <t>I.S.L.R 5%</t>
  </si>
  <si>
    <t>0,75% DEB</t>
  </si>
  <si>
    <t>0,75% ELECT</t>
  </si>
  <si>
    <t>2,50% CRED</t>
  </si>
  <si>
    <t>T. DEB</t>
  </si>
  <si>
    <t>T.ELEC</t>
  </si>
  <si>
    <t>T.CRED</t>
  </si>
  <si>
    <t>PROVINCIAL</t>
  </si>
  <si>
    <t>TOTAL $</t>
  </si>
  <si>
    <t>.</t>
  </si>
  <si>
    <t>PUNTOS PRESTADO DE AUTOMERCADO A LA HOYADA DEL 20 AL 31 DE OCTUBRE DEL 2021</t>
  </si>
  <si>
    <t>PUNTOS PRESTADO DE AUTOMERCADO A LA HOYADA MES DE OCTUBRE 2021</t>
  </si>
  <si>
    <t>IGTF</t>
  </si>
  <si>
    <t>DEB. PROVINCIAL</t>
  </si>
  <si>
    <t>CRE. PROVINCIAL</t>
  </si>
  <si>
    <t>BIOPAGO EXPRESS 2022 NETO</t>
  </si>
  <si>
    <t>MES</t>
  </si>
  <si>
    <t>FECHA ENTREGA</t>
  </si>
  <si>
    <t>RESPONSABLE</t>
  </si>
  <si>
    <t>KEYLA RANGEL</t>
  </si>
  <si>
    <t xml:space="preserve">EMPRESA: </t>
  </si>
  <si>
    <t>METODOS</t>
  </si>
  <si>
    <t xml:space="preserve">EMPRESA </t>
  </si>
  <si>
    <t>BRUTO</t>
  </si>
  <si>
    <t>NETO</t>
  </si>
  <si>
    <t>EFECTIVO</t>
  </si>
  <si>
    <t>DÓLAR</t>
  </si>
  <si>
    <t>EUROS</t>
  </si>
  <si>
    <t>ZELLE</t>
  </si>
  <si>
    <t>PAYPAL</t>
  </si>
  <si>
    <t>PUNTO DE VENTA</t>
  </si>
  <si>
    <t>BIOPAGO</t>
  </si>
  <si>
    <t>TASA</t>
  </si>
  <si>
    <t>AL CAMBIO</t>
  </si>
  <si>
    <t>DIVISAS $</t>
  </si>
  <si>
    <t>VENTAS</t>
  </si>
  <si>
    <t xml:space="preserve">JULIO </t>
  </si>
  <si>
    <t>BIOPAGO MODELO 2022 BRUTO</t>
  </si>
  <si>
    <t>PUNTO PRESTADO DE HOYADA  LAGUNETICA</t>
  </si>
  <si>
    <t>PUNTO PRESTADO DE EXPRES  BANCRECER A LAGUNETICA</t>
  </si>
  <si>
    <t>DEB. BANCRECER</t>
  </si>
  <si>
    <t>CRE. BANCRECER</t>
  </si>
  <si>
    <t>PUNTO PRESTADO MODELO BANCRECER A LAGUNETICA</t>
  </si>
  <si>
    <t>LAGUNETICA</t>
  </si>
  <si>
    <t>PUNTO PRESTADO PROVINCIAL DE EXPRES A LAGUNETICA</t>
  </si>
  <si>
    <t>EXPRESS</t>
  </si>
  <si>
    <t>HOYADA</t>
  </si>
  <si>
    <t>MODELO</t>
  </si>
  <si>
    <t>BANCRECER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</si>
</sst>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 &quot;Bs. F.&quot;\ * #,##0.00_ ;_ &quot;Bs. F.&quot;\ * \-#,##0.00_ ;_ &quot;Bs. F.&quot;\ * &quot;-&quot;??_ ;_ @_ "/>
    <numFmt numFmtId="43" formatCode="_ * #,##0.00_ ;_ * \-#,##0.00_ ;_ * &quot;-&quot;??_ ;_ @_ "/>
    <numFmt numFmtId="164" formatCode="_ [$Bs.S-200A]\ * #,##0.00_ ;_ [$Bs.S-200A]\ * \-#,##0.00_ ;_ [$Bs.S-200A]\ * &quot;-&quot;??_ ;_ @_ "/>
    <numFmt numFmtId="165" formatCode="_ &quot;Bs.S&quot;\ * #,##0_ ;_ &quot;Bs.S&quot;\ * \-#,##0_ ;_ &quot;Bs.S&quot;\ * &quot;-&quot;_ ;_ @_ "/>
    <numFmt numFmtId="166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theme="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C99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Protection="1"/>
    <xf numFmtId="164" fontId="0" fillId="0" borderId="1" xfId="0" applyNumberFormat="1" applyBorder="1" applyProtection="1"/>
    <xf numFmtId="0" fontId="0" fillId="3" borderId="1" xfId="0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center"/>
    </xf>
    <xf numFmtId="9" fontId="4" fillId="4" borderId="1" xfId="2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2" fillId="5" borderId="1" xfId="0" applyFont="1" applyFill="1" applyBorder="1"/>
    <xf numFmtId="4" fontId="5" fillId="0" borderId="1" xfId="0" applyNumberFormat="1" applyFont="1" applyBorder="1" applyAlignment="1">
      <alignment horizontal="center"/>
    </xf>
    <xf numFmtId="43" fontId="0" fillId="0" borderId="1" xfId="1" applyFont="1" applyBorder="1"/>
    <xf numFmtId="43" fontId="0" fillId="0" borderId="1" xfId="0" applyNumberFormat="1" applyBorder="1"/>
    <xf numFmtId="14" fontId="2" fillId="2" borderId="0" xfId="0" applyNumberFormat="1" applyFont="1" applyFill="1" applyBorder="1"/>
    <xf numFmtId="0" fontId="2" fillId="2" borderId="0" xfId="0" applyFont="1" applyFill="1" applyBorder="1"/>
    <xf numFmtId="43" fontId="2" fillId="2" borderId="0" xfId="1" applyFont="1" applyFill="1" applyBorder="1"/>
    <xf numFmtId="43" fontId="0" fillId="2" borderId="0" xfId="1" applyFont="1" applyFill="1" applyBorder="1"/>
    <xf numFmtId="43" fontId="0" fillId="2" borderId="0" xfId="0" applyNumberFormat="1" applyFill="1" applyBorder="1"/>
    <xf numFmtId="43" fontId="4" fillId="6" borderId="0" xfId="1" applyFont="1" applyFill="1" applyBorder="1" applyAlignment="1">
      <alignment horizontal="center" wrapText="1"/>
    </xf>
    <xf numFmtId="43" fontId="2" fillId="2" borderId="0" xfId="0" applyNumberFormat="1" applyFont="1" applyFill="1" applyBorder="1"/>
    <xf numFmtId="0" fontId="0" fillId="2" borderId="0" xfId="0" applyFill="1" applyBorder="1"/>
    <xf numFmtId="4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4" fontId="0" fillId="0" borderId="1" xfId="0" applyNumberFormat="1" applyBorder="1"/>
    <xf numFmtId="166" fontId="5" fillId="7" borderId="1" xfId="0" applyNumberFormat="1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43" fontId="6" fillId="2" borderId="1" xfId="1" applyFont="1" applyFill="1" applyBorder="1" applyAlignment="1" applyProtection="1">
      <alignment horizontal="center"/>
      <protection locked="0"/>
    </xf>
    <xf numFmtId="4" fontId="5" fillId="2" borderId="1" xfId="0" applyNumberFormat="1" applyFont="1" applyFill="1" applyBorder="1" applyAlignment="1">
      <alignment horizontal="center"/>
    </xf>
    <xf numFmtId="4" fontId="5" fillId="8" borderId="1" xfId="0" applyNumberFormat="1" applyFont="1" applyFill="1" applyBorder="1" applyAlignment="1">
      <alignment horizontal="center"/>
    </xf>
    <xf numFmtId="0" fontId="0" fillId="9" borderId="0" xfId="0" applyFill="1"/>
    <xf numFmtId="43" fontId="0" fillId="9" borderId="0" xfId="0" applyNumberFormat="1" applyFill="1"/>
    <xf numFmtId="43" fontId="0" fillId="0" borderId="0" xfId="1" applyFont="1" applyBorder="1"/>
    <xf numFmtId="14" fontId="0" fillId="0" borderId="0" xfId="0" applyNumberFormat="1" applyBorder="1"/>
    <xf numFmtId="166" fontId="5" fillId="7" borderId="0" xfId="0" applyNumberFormat="1" applyFont="1" applyFill="1" applyBorder="1" applyAlignment="1">
      <alignment horizontal="center"/>
    </xf>
    <xf numFmtId="43" fontId="5" fillId="2" borderId="0" xfId="1" applyFont="1" applyFill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43" fontId="0" fillId="0" borderId="0" xfId="0" applyNumberFormat="1" applyBorder="1"/>
    <xf numFmtId="0" fontId="2" fillId="2" borderId="1" xfId="0" applyFont="1" applyFill="1" applyBorder="1"/>
    <xf numFmtId="43" fontId="0" fillId="9" borderId="0" xfId="1" applyFont="1" applyFill="1" applyBorder="1"/>
    <xf numFmtId="43" fontId="0" fillId="9" borderId="0" xfId="0" applyNumberFormat="1" applyFill="1" applyBorder="1"/>
    <xf numFmtId="43" fontId="0" fillId="9" borderId="4" xfId="0" applyNumberFormat="1" applyFill="1" applyBorder="1"/>
    <xf numFmtId="44" fontId="0" fillId="0" borderId="1" xfId="0" applyNumberFormat="1" applyBorder="1"/>
    <xf numFmtId="0" fontId="0" fillId="0" borderId="1" xfId="0" applyBorder="1"/>
    <xf numFmtId="44" fontId="0" fillId="0" borderId="0" xfId="0" applyNumberFormat="1"/>
    <xf numFmtId="43" fontId="0" fillId="0" borderId="0" xfId="1" applyFont="1"/>
    <xf numFmtId="43" fontId="0" fillId="0" borderId="0" xfId="0" applyNumberFormat="1"/>
    <xf numFmtId="43" fontId="0" fillId="10" borderId="0" xfId="0" applyNumberFormat="1" applyFill="1"/>
    <xf numFmtId="0" fontId="3" fillId="7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2" fillId="5" borderId="1" xfId="0" applyFont="1" applyFill="1" applyBorder="1" applyAlignment="1">
      <alignment wrapText="1"/>
    </xf>
    <xf numFmtId="9" fontId="2" fillId="5" borderId="1" xfId="0" applyNumberFormat="1" applyFont="1" applyFill="1" applyBorder="1" applyAlignment="1">
      <alignment horizontal="center" wrapText="1"/>
    </xf>
    <xf numFmtId="14" fontId="0" fillId="0" borderId="1" xfId="0" applyNumberFormat="1" applyBorder="1" applyAlignment="1" applyProtection="1">
      <alignment wrapText="1"/>
    </xf>
    <xf numFmtId="164" fontId="0" fillId="0" borderId="1" xfId="0" applyNumberFormat="1" applyBorder="1" applyAlignment="1" applyProtection="1">
      <alignment wrapText="1"/>
    </xf>
    <xf numFmtId="43" fontId="0" fillId="0" borderId="1" xfId="1" applyFont="1" applyBorder="1" applyAlignment="1">
      <alignment wrapText="1"/>
    </xf>
    <xf numFmtId="2" fontId="0" fillId="0" borderId="0" xfId="0" applyNumberFormat="1" applyBorder="1"/>
    <xf numFmtId="164" fontId="0" fillId="10" borderId="0" xfId="0" applyNumberFormat="1" applyFill="1"/>
    <xf numFmtId="0" fontId="0" fillId="10" borderId="0" xfId="0" applyFill="1"/>
    <xf numFmtId="0" fontId="0" fillId="10" borderId="0" xfId="0" applyFill="1" applyBorder="1"/>
    <xf numFmtId="43" fontId="0" fillId="10" borderId="0" xfId="1" applyFont="1" applyFill="1" applyBorder="1" applyAlignment="1">
      <alignment wrapText="1"/>
    </xf>
    <xf numFmtId="0" fontId="0" fillId="11" borderId="0" xfId="0" applyFill="1"/>
    <xf numFmtId="0" fontId="3" fillId="2" borderId="6" xfId="0" applyFont="1" applyFill="1" applyBorder="1" applyAlignment="1" applyProtection="1">
      <alignment horizontal="center" vertical="center" wrapText="1"/>
    </xf>
    <xf numFmtId="0" fontId="0" fillId="10" borderId="1" xfId="0" applyFill="1" applyBorder="1" applyAlignment="1">
      <alignment horizontal="center"/>
    </xf>
    <xf numFmtId="164" fontId="0" fillId="0" borderId="6" xfId="0" applyNumberFormat="1" applyBorder="1" applyProtection="1"/>
    <xf numFmtId="44" fontId="0" fillId="10" borderId="0" xfId="0" applyNumberFormat="1" applyFill="1"/>
    <xf numFmtId="43" fontId="0" fillId="10" borderId="5" xfId="0" applyNumberFormat="1" applyFill="1" applyBorder="1"/>
    <xf numFmtId="0" fontId="2" fillId="0" borderId="0" xfId="0" applyFont="1"/>
    <xf numFmtId="0" fontId="0" fillId="0" borderId="7" xfId="0" applyBorder="1"/>
    <xf numFmtId="0" fontId="0" fillId="0" borderId="8" xfId="0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12" borderId="1" xfId="0" applyFont="1" applyFill="1" applyBorder="1" applyAlignment="1" applyProtection="1">
      <alignment horizontal="center" vertical="center" wrapText="1"/>
    </xf>
    <xf numFmtId="2" fontId="0" fillId="0" borderId="1" xfId="0" applyNumberFormat="1" applyBorder="1" applyProtection="1"/>
    <xf numFmtId="43" fontId="0" fillId="0" borderId="1" xfId="1" applyFont="1" applyBorder="1" applyProtection="1"/>
    <xf numFmtId="2" fontId="0" fillId="0" borderId="0" xfId="0" applyNumberFormat="1"/>
    <xf numFmtId="0" fontId="7" fillId="13" borderId="3" xfId="0" applyFont="1" applyFill="1" applyBorder="1" applyAlignment="1" applyProtection="1">
      <alignment horizontal="center" vertical="center" wrapText="1"/>
    </xf>
    <xf numFmtId="0" fontId="3" fillId="14" borderId="1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14" fontId="0" fillId="2" borderId="0" xfId="0" applyNumberFormat="1" applyFill="1" applyBorder="1" applyProtection="1"/>
    <xf numFmtId="164" fontId="0" fillId="2" borderId="0" xfId="0" applyNumberFormat="1" applyFill="1" applyBorder="1" applyProtection="1"/>
    <xf numFmtId="0" fontId="0" fillId="2" borderId="0" xfId="0" applyFill="1" applyBorder="1" applyAlignment="1">
      <alignment horizontal="center"/>
    </xf>
    <xf numFmtId="44" fontId="0" fillId="2" borderId="0" xfId="0" applyNumberFormat="1" applyFill="1" applyBorder="1"/>
    <xf numFmtId="43" fontId="0" fillId="0" borderId="6" xfId="1" applyFont="1" applyBorder="1" applyProtection="1"/>
    <xf numFmtId="14" fontId="0" fillId="0" borderId="7" xfId="0" applyNumberForma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CARPETA%202021%20CUADRES%20GENERALES/CUADRE%20AUDITORIA%20MES%20DE%20OCTUBRE%202021/INFORME%20AUDITORIA%20%20HOYADA%202021%20(Autoguardado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INFORME%20AUDITORIA%202022%20KEYLA/CUADRES%20AUDITORIA%20MAYO%202022/INFORME%20AUDITORIA%20%20HOYADA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AUDITORIA%20MES%20DE%20JUlIO%20%202022/INFORME%20AUDITORIA%20%20LAGUNETICA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GENERAL DE VENTAS"/>
      <sheetName val="PROVINCIAL"/>
      <sheetName val="BANESCO"/>
      <sheetName val="VENEZUELA"/>
      <sheetName val="PLAZA"/>
      <sheetName val="TESORO"/>
      <sheetName val="VENTAS A CREDITO"/>
      <sheetName val="DIVISAS Y TRANSFERENCIAS"/>
      <sheetName val="DIA 1"/>
      <sheetName val="DIA 2"/>
      <sheetName val="DIA 3"/>
      <sheetName val="DIA 4"/>
      <sheetName val="DIA 5"/>
      <sheetName val="DIA 6"/>
      <sheetName val="DIA 7"/>
      <sheetName val="DIA 8"/>
      <sheetName val="DIA 9"/>
      <sheetName val="DIA 10"/>
      <sheetName val="DIA 11"/>
      <sheetName val="DIA 12"/>
      <sheetName val="DIA 13"/>
      <sheetName val="DIA 14"/>
      <sheetName val="DIA 15"/>
      <sheetName val="DIA 16"/>
      <sheetName val="DIA 17"/>
      <sheetName val="DIA 18"/>
      <sheetName val="DIA 19"/>
      <sheetName val="DIA 20"/>
      <sheetName val="DIA 21"/>
      <sheetName val="DIA 22"/>
      <sheetName val="DIA 23"/>
      <sheetName val="DIA 24"/>
      <sheetName val="DIA 25"/>
      <sheetName val="DIA 26"/>
      <sheetName val="DIA 27"/>
      <sheetName val="DIA 28"/>
      <sheetName val="DIA 29"/>
      <sheetName val="DIA 30"/>
      <sheetName val="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>
            <v>44470</v>
          </cell>
        </row>
        <row r="50">
          <cell r="B50">
            <v>74.11</v>
          </cell>
          <cell r="G50">
            <v>73.554175000000001</v>
          </cell>
        </row>
        <row r="51">
          <cell r="B51">
            <v>3172.46</v>
          </cell>
          <cell r="G51">
            <v>3124.8731000000002</v>
          </cell>
        </row>
      </sheetData>
      <sheetData sheetId="9">
        <row r="6">
          <cell r="B6">
            <v>44471</v>
          </cell>
        </row>
        <row r="50">
          <cell r="B50">
            <v>177.7</v>
          </cell>
          <cell r="G50">
            <v>176.36724999999998</v>
          </cell>
        </row>
        <row r="51">
          <cell r="B51">
            <v>2795.23</v>
          </cell>
          <cell r="G51">
            <v>2753.3015500000001</v>
          </cell>
        </row>
      </sheetData>
      <sheetData sheetId="10">
        <row r="6">
          <cell r="B6">
            <v>44472</v>
          </cell>
        </row>
        <row r="50">
          <cell r="B50">
            <v>86.859999999999985</v>
          </cell>
          <cell r="G50">
            <v>86.208549999999988</v>
          </cell>
        </row>
        <row r="51">
          <cell r="B51">
            <v>1241.24</v>
          </cell>
          <cell r="G51">
            <v>1222.6214</v>
          </cell>
        </row>
      </sheetData>
      <sheetData sheetId="11">
        <row r="6">
          <cell r="B6">
            <v>44473</v>
          </cell>
        </row>
        <row r="50">
          <cell r="B50">
            <v>146.93</v>
          </cell>
          <cell r="G50">
            <v>145.828025</v>
          </cell>
        </row>
        <row r="51">
          <cell r="B51">
            <v>1487.48</v>
          </cell>
          <cell r="G51">
            <v>1465.1677999999999</v>
          </cell>
        </row>
      </sheetData>
      <sheetData sheetId="12">
        <row r="6">
          <cell r="B6">
            <v>44474</v>
          </cell>
        </row>
        <row r="50">
          <cell r="B50">
            <v>190.55</v>
          </cell>
          <cell r="G50">
            <v>189.12087500000001</v>
          </cell>
        </row>
        <row r="51">
          <cell r="B51">
            <v>1615.54</v>
          </cell>
          <cell r="G51">
            <v>1591.3069</v>
          </cell>
        </row>
      </sheetData>
      <sheetData sheetId="13">
        <row r="6">
          <cell r="B6">
            <v>44475</v>
          </cell>
        </row>
        <row r="50">
          <cell r="B50">
            <v>63.14</v>
          </cell>
          <cell r="G50">
            <v>62.666449999999998</v>
          </cell>
        </row>
        <row r="51">
          <cell r="B51">
            <v>1258.5899999999999</v>
          </cell>
          <cell r="G51">
            <v>1239.7111499999999</v>
          </cell>
        </row>
      </sheetData>
      <sheetData sheetId="14">
        <row r="6">
          <cell r="B6">
            <v>44476</v>
          </cell>
        </row>
        <row r="50">
          <cell r="B50">
            <v>255.95000000000002</v>
          </cell>
          <cell r="G50">
            <v>254.03037500000002</v>
          </cell>
        </row>
        <row r="51">
          <cell r="B51">
            <v>1226.72</v>
          </cell>
          <cell r="G51">
            <v>1208.3192000000001</v>
          </cell>
        </row>
      </sheetData>
      <sheetData sheetId="15">
        <row r="6">
          <cell r="B6">
            <v>44477</v>
          </cell>
        </row>
        <row r="50">
          <cell r="B50">
            <v>204.26999999999998</v>
          </cell>
          <cell r="G50">
            <v>202.73797499999998</v>
          </cell>
        </row>
        <row r="51">
          <cell r="B51">
            <v>857.83</v>
          </cell>
          <cell r="G51">
            <v>844.96255000000008</v>
          </cell>
        </row>
      </sheetData>
      <sheetData sheetId="16">
        <row r="6">
          <cell r="B6">
            <v>44478</v>
          </cell>
        </row>
        <row r="50">
          <cell r="B50">
            <v>253.46</v>
          </cell>
          <cell r="G50">
            <v>251.55905000000001</v>
          </cell>
        </row>
        <row r="51">
          <cell r="B51">
            <v>799.87</v>
          </cell>
          <cell r="G51">
            <v>787.87194999999997</v>
          </cell>
        </row>
      </sheetData>
      <sheetData sheetId="17">
        <row r="6">
          <cell r="B6">
            <v>44479</v>
          </cell>
        </row>
        <row r="50">
          <cell r="B50">
            <v>92.94</v>
          </cell>
          <cell r="G50">
            <v>92.242949999999993</v>
          </cell>
        </row>
        <row r="51">
          <cell r="B51">
            <v>368.93</v>
          </cell>
          <cell r="G51">
            <v>363.39605</v>
          </cell>
        </row>
      </sheetData>
      <sheetData sheetId="18">
        <row r="6">
          <cell r="B6">
            <v>44480</v>
          </cell>
        </row>
        <row r="50">
          <cell r="B50">
            <v>85.38</v>
          </cell>
          <cell r="G50">
            <v>84.739649999999997</v>
          </cell>
        </row>
        <row r="51">
          <cell r="B51">
            <v>370.15</v>
          </cell>
          <cell r="G51">
            <v>364.59774999999996</v>
          </cell>
        </row>
      </sheetData>
      <sheetData sheetId="19">
        <row r="6">
          <cell r="B6">
            <v>44481</v>
          </cell>
        </row>
        <row r="50">
          <cell r="B50">
            <v>203.10999999999999</v>
          </cell>
          <cell r="G50">
            <v>201.58667499999999</v>
          </cell>
        </row>
        <row r="51">
          <cell r="B51">
            <v>1832.04</v>
          </cell>
          <cell r="G51">
            <v>1804.5593999999999</v>
          </cell>
        </row>
      </sheetData>
      <sheetData sheetId="20">
        <row r="6">
          <cell r="B6">
            <v>44482</v>
          </cell>
        </row>
        <row r="50">
          <cell r="B50">
            <v>159.17999999999998</v>
          </cell>
          <cell r="G50">
            <v>157.98614999999998</v>
          </cell>
        </row>
        <row r="51">
          <cell r="B51">
            <v>1810.01</v>
          </cell>
          <cell r="G51">
            <v>1782.8598500000001</v>
          </cell>
        </row>
      </sheetData>
      <sheetData sheetId="21">
        <row r="6">
          <cell r="B6">
            <v>44483</v>
          </cell>
        </row>
        <row r="50">
          <cell r="B50">
            <v>247.07</v>
          </cell>
          <cell r="G50">
            <v>245.21697499999999</v>
          </cell>
        </row>
        <row r="51">
          <cell r="B51">
            <v>1502.39</v>
          </cell>
          <cell r="G51">
            <v>1479.8541500000001</v>
          </cell>
        </row>
      </sheetData>
      <sheetData sheetId="22">
        <row r="6">
          <cell r="B6">
            <v>44484</v>
          </cell>
        </row>
        <row r="50">
          <cell r="B50">
            <v>216.37</v>
          </cell>
          <cell r="G50">
            <v>214.74722500000001</v>
          </cell>
        </row>
        <row r="51">
          <cell r="B51">
            <v>1889.2800000000002</v>
          </cell>
          <cell r="G51">
            <v>1860.9408000000003</v>
          </cell>
        </row>
      </sheetData>
      <sheetData sheetId="23">
        <row r="6">
          <cell r="B6">
            <v>44485</v>
          </cell>
        </row>
        <row r="50">
          <cell r="B50">
            <v>840.96</v>
          </cell>
          <cell r="G50">
            <v>834.65280000000007</v>
          </cell>
        </row>
        <row r="51">
          <cell r="B51">
            <v>1673.3</v>
          </cell>
          <cell r="G51">
            <v>1648.2004999999999</v>
          </cell>
        </row>
      </sheetData>
      <sheetData sheetId="24">
        <row r="6">
          <cell r="B6">
            <v>44486</v>
          </cell>
        </row>
        <row r="50">
          <cell r="B50">
            <v>254.39</v>
          </cell>
          <cell r="G50">
            <v>252.48207499999998</v>
          </cell>
        </row>
        <row r="51">
          <cell r="B51">
            <v>845.53</v>
          </cell>
          <cell r="G51">
            <v>832.84704999999997</v>
          </cell>
        </row>
      </sheetData>
      <sheetData sheetId="25">
        <row r="6">
          <cell r="B6">
            <v>44487</v>
          </cell>
        </row>
        <row r="50">
          <cell r="B50">
            <v>168.08999999999997</v>
          </cell>
          <cell r="G50">
            <v>166.82932499999998</v>
          </cell>
        </row>
        <row r="51">
          <cell r="B51">
            <v>819.28</v>
          </cell>
          <cell r="G51">
            <v>806.99079999999992</v>
          </cell>
        </row>
      </sheetData>
      <sheetData sheetId="26">
        <row r="6">
          <cell r="B6">
            <v>44488</v>
          </cell>
        </row>
        <row r="50">
          <cell r="B50">
            <v>365.13</v>
          </cell>
          <cell r="G50">
            <v>362.391525</v>
          </cell>
        </row>
        <row r="51">
          <cell r="B51">
            <v>1010.9999999999999</v>
          </cell>
          <cell r="G51">
            <v>995.83499999999992</v>
          </cell>
        </row>
      </sheetData>
      <sheetData sheetId="27">
        <row r="6">
          <cell r="B6">
            <v>44489</v>
          </cell>
        </row>
        <row r="50">
          <cell r="B50">
            <v>163.32999999999998</v>
          </cell>
          <cell r="G50">
            <v>162.10502499999998</v>
          </cell>
        </row>
        <row r="51">
          <cell r="B51">
            <v>1031.6300000000001</v>
          </cell>
          <cell r="G51">
            <v>1016.1555500000001</v>
          </cell>
        </row>
      </sheetData>
      <sheetData sheetId="28">
        <row r="6">
          <cell r="B6">
            <v>44490</v>
          </cell>
        </row>
        <row r="50">
          <cell r="B50">
            <v>343.80999999999995</v>
          </cell>
          <cell r="G50">
            <v>341.23142499999994</v>
          </cell>
        </row>
        <row r="51">
          <cell r="B51">
            <v>1144.3799999999999</v>
          </cell>
          <cell r="G51">
            <v>1127.2142999999999</v>
          </cell>
        </row>
      </sheetData>
      <sheetData sheetId="29">
        <row r="6">
          <cell r="B6">
            <v>44491</v>
          </cell>
        </row>
        <row r="50">
          <cell r="B50">
            <v>370.78000000000003</v>
          </cell>
          <cell r="G50">
            <v>367.99915000000004</v>
          </cell>
        </row>
        <row r="51">
          <cell r="B51">
            <v>1356.81</v>
          </cell>
          <cell r="G51">
            <v>1336.45785</v>
          </cell>
        </row>
      </sheetData>
      <sheetData sheetId="30">
        <row r="6">
          <cell r="B6">
            <v>44492</v>
          </cell>
        </row>
        <row r="50">
          <cell r="B50">
            <v>672.43000000000006</v>
          </cell>
          <cell r="G50">
            <v>667.38677500000006</v>
          </cell>
        </row>
        <row r="51">
          <cell r="B51">
            <v>1563.21</v>
          </cell>
          <cell r="G51">
            <v>1539.7618500000001</v>
          </cell>
        </row>
      </sheetData>
      <sheetData sheetId="31">
        <row r="6">
          <cell r="B6">
            <v>44493</v>
          </cell>
        </row>
        <row r="50">
          <cell r="B50">
            <v>298.14000000000004</v>
          </cell>
          <cell r="G50">
            <v>295.90395000000007</v>
          </cell>
        </row>
        <row r="51">
          <cell r="B51">
            <v>1070.8700000000001</v>
          </cell>
          <cell r="G51">
            <v>1054.8069500000001</v>
          </cell>
        </row>
      </sheetData>
      <sheetData sheetId="32">
        <row r="6">
          <cell r="B6">
            <v>44494</v>
          </cell>
        </row>
        <row r="50">
          <cell r="B50">
            <v>329.9</v>
          </cell>
          <cell r="G50">
            <v>327.42574999999999</v>
          </cell>
        </row>
        <row r="51">
          <cell r="B51">
            <v>1735.0299999999997</v>
          </cell>
          <cell r="G51">
            <v>1709.0045499999997</v>
          </cell>
        </row>
      </sheetData>
      <sheetData sheetId="33">
        <row r="6">
          <cell r="B6">
            <v>44495</v>
          </cell>
        </row>
        <row r="50">
          <cell r="B50">
            <v>305.27000000000004</v>
          </cell>
          <cell r="G50">
            <v>302.98047500000001</v>
          </cell>
        </row>
        <row r="51">
          <cell r="B51">
            <v>1615.05</v>
          </cell>
          <cell r="G51">
            <v>1590.8242499999999</v>
          </cell>
        </row>
      </sheetData>
      <sheetData sheetId="34">
        <row r="6">
          <cell r="B6">
            <v>44496</v>
          </cell>
        </row>
        <row r="50">
          <cell r="B50">
            <v>203.79000000000002</v>
          </cell>
          <cell r="G50">
            <v>202.26157500000002</v>
          </cell>
        </row>
        <row r="51">
          <cell r="B51">
            <v>1450.06</v>
          </cell>
          <cell r="G51">
            <v>1428.3090999999999</v>
          </cell>
        </row>
      </sheetData>
      <sheetData sheetId="35">
        <row r="6">
          <cell r="B6">
            <v>44132</v>
          </cell>
        </row>
        <row r="50">
          <cell r="B50">
            <v>222.61</v>
          </cell>
          <cell r="G50">
            <v>220.940425</v>
          </cell>
        </row>
        <row r="51">
          <cell r="B51">
            <v>1810.2800000000002</v>
          </cell>
          <cell r="G51">
            <v>1783.1258000000003</v>
          </cell>
        </row>
      </sheetData>
      <sheetData sheetId="36">
        <row r="6">
          <cell r="B6">
            <v>44498</v>
          </cell>
        </row>
        <row r="50">
          <cell r="B50">
            <v>229.86</v>
          </cell>
          <cell r="G50">
            <v>228.13605000000001</v>
          </cell>
        </row>
        <row r="51">
          <cell r="B51">
            <v>1628.6299999999999</v>
          </cell>
          <cell r="G51">
            <v>1604.2005499999998</v>
          </cell>
        </row>
      </sheetData>
      <sheetData sheetId="37">
        <row r="6">
          <cell r="B6">
            <v>44499</v>
          </cell>
        </row>
        <row r="50">
          <cell r="B50">
            <v>186.62</v>
          </cell>
          <cell r="G50">
            <v>185.22035</v>
          </cell>
        </row>
        <row r="51">
          <cell r="B51">
            <v>3757.42</v>
          </cell>
          <cell r="G51">
            <v>3701.0587</v>
          </cell>
        </row>
      </sheetData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GENERAL DE VENTAS"/>
      <sheetName val="PROVINCIAL"/>
      <sheetName val="BANESCO"/>
      <sheetName val="VENEZUELA"/>
      <sheetName val="PLAZA"/>
      <sheetName val="TESORO"/>
      <sheetName val="VENTAS A CREDITO"/>
      <sheetName val="DIVISAS Y TRANSFERENCIAS"/>
      <sheetName val="DIA 1"/>
      <sheetName val="DIA 2"/>
      <sheetName val="DIA 3"/>
      <sheetName val="DIA 4"/>
      <sheetName val="DIA 5"/>
      <sheetName val="DIA 6"/>
      <sheetName val="DIA 7"/>
      <sheetName val="DIA 8"/>
      <sheetName val="DIA 9"/>
      <sheetName val="DIA 10"/>
      <sheetName val="DIA 11"/>
      <sheetName val="DIA 12"/>
      <sheetName val="DIA 13"/>
      <sheetName val="DIA 14"/>
      <sheetName val="DIA 15"/>
      <sheetName val="DIA 16"/>
      <sheetName val="DIA 17"/>
      <sheetName val="DIA 18"/>
      <sheetName val="DIA 19"/>
      <sheetName val="DIA 20"/>
      <sheetName val="DIA 21"/>
      <sheetName val="DIA 22"/>
      <sheetName val="DIA 23"/>
      <sheetName val="DIA 24"/>
      <sheetName val="DIA 25"/>
      <sheetName val="DIA 26"/>
      <sheetName val="DIA 27"/>
      <sheetName val="DIA 28"/>
      <sheetName val="DIA 29"/>
      <sheetName val="DIA 30"/>
      <sheetName val="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0">
          <cell r="Q50"/>
        </row>
        <row r="51">
          <cell r="Q51"/>
        </row>
      </sheetData>
      <sheetData sheetId="9">
        <row r="50">
          <cell r="Q50"/>
        </row>
        <row r="51">
          <cell r="Q51"/>
        </row>
      </sheetData>
      <sheetData sheetId="10">
        <row r="50">
          <cell r="Q50"/>
        </row>
        <row r="51">
          <cell r="Q51"/>
        </row>
      </sheetData>
      <sheetData sheetId="11">
        <row r="50">
          <cell r="Q50"/>
        </row>
        <row r="51">
          <cell r="Q51"/>
        </row>
      </sheetData>
      <sheetData sheetId="12">
        <row r="50">
          <cell r="Q50"/>
        </row>
        <row r="51">
          <cell r="Q51"/>
        </row>
      </sheetData>
      <sheetData sheetId="13">
        <row r="50">
          <cell r="Q50"/>
        </row>
        <row r="51">
          <cell r="Q51"/>
        </row>
      </sheetData>
      <sheetData sheetId="14">
        <row r="50">
          <cell r="Q50"/>
        </row>
        <row r="51">
          <cell r="Q51"/>
        </row>
      </sheetData>
      <sheetData sheetId="15">
        <row r="50">
          <cell r="Q50"/>
        </row>
        <row r="51">
          <cell r="Q51"/>
        </row>
      </sheetData>
      <sheetData sheetId="16">
        <row r="50">
          <cell r="Q50"/>
        </row>
        <row r="51">
          <cell r="Q51"/>
        </row>
      </sheetData>
      <sheetData sheetId="17">
        <row r="50">
          <cell r="Q50"/>
        </row>
        <row r="51">
          <cell r="Q51"/>
        </row>
      </sheetData>
      <sheetData sheetId="18">
        <row r="50">
          <cell r="Q50"/>
        </row>
        <row r="51">
          <cell r="Q51"/>
        </row>
      </sheetData>
      <sheetData sheetId="19">
        <row r="50">
          <cell r="Q50"/>
        </row>
        <row r="51">
          <cell r="Q51"/>
        </row>
      </sheetData>
      <sheetData sheetId="20">
        <row r="50">
          <cell r="Q50"/>
        </row>
        <row r="51">
          <cell r="Q51"/>
        </row>
      </sheetData>
      <sheetData sheetId="21">
        <row r="50">
          <cell r="Q50"/>
        </row>
        <row r="51">
          <cell r="Q51"/>
        </row>
      </sheetData>
      <sheetData sheetId="22">
        <row r="50">
          <cell r="Q50"/>
        </row>
        <row r="51">
          <cell r="Q51"/>
        </row>
      </sheetData>
      <sheetData sheetId="23">
        <row r="50">
          <cell r="Q50"/>
        </row>
        <row r="51">
          <cell r="Q51"/>
        </row>
      </sheetData>
      <sheetData sheetId="24">
        <row r="50">
          <cell r="Q50"/>
        </row>
        <row r="51">
          <cell r="Q51"/>
        </row>
      </sheetData>
      <sheetData sheetId="25">
        <row r="50">
          <cell r="Q50"/>
        </row>
        <row r="51">
          <cell r="Q51"/>
        </row>
      </sheetData>
      <sheetData sheetId="26">
        <row r="50">
          <cell r="Q50"/>
        </row>
        <row r="51">
          <cell r="Q51"/>
        </row>
      </sheetData>
      <sheetData sheetId="27">
        <row r="50">
          <cell r="Q50"/>
        </row>
        <row r="51">
          <cell r="Q51"/>
        </row>
      </sheetData>
      <sheetData sheetId="28">
        <row r="50">
          <cell r="Q50"/>
        </row>
        <row r="51">
          <cell r="Q51"/>
        </row>
      </sheetData>
      <sheetData sheetId="29">
        <row r="50">
          <cell r="Q50"/>
        </row>
        <row r="51">
          <cell r="Q51"/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GENERAL DE VENTAS"/>
      <sheetName val="PROVINCIAL"/>
      <sheetName val="BANESCO"/>
      <sheetName val="VENEZUELA"/>
      <sheetName val="PLAZA"/>
      <sheetName val="TESORO"/>
      <sheetName val="VENTAS A CREDITO"/>
      <sheetName val="DIVISAS Y TRANSFERENCIAS"/>
      <sheetName val="DIA 1"/>
      <sheetName val="DIA 2"/>
      <sheetName val="DIA 3"/>
      <sheetName val="DIA 4"/>
      <sheetName val="DIA 5"/>
      <sheetName val="DIA 6"/>
      <sheetName val="DIA 7"/>
      <sheetName val="DIA 8"/>
      <sheetName val="DIA 9"/>
      <sheetName val="DIA 10"/>
      <sheetName val="DIA 11"/>
      <sheetName val="DIA 12"/>
      <sheetName val="DIA 13"/>
      <sheetName val="DIA 14"/>
      <sheetName val="DIA 15"/>
      <sheetName val="DIA 16"/>
      <sheetName val="DIA 17"/>
      <sheetName val="DIA 18"/>
      <sheetName val="DIA 19"/>
      <sheetName val="DIA 20"/>
      <sheetName val="DIA 21"/>
      <sheetName val="DIA 22"/>
      <sheetName val="DIA 23"/>
      <sheetName val="DIA 24"/>
      <sheetName val="DIA 25"/>
      <sheetName val="DIA 26"/>
      <sheetName val="DIA 27"/>
      <sheetName val="DIA 28"/>
      <sheetName val="DIA 29"/>
      <sheetName val="DIA 30"/>
      <sheetName val="DIA 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0">
          <cell r="R70">
            <v>1150.33</v>
          </cell>
        </row>
        <row r="71">
          <cell r="R71">
            <v>580.39</v>
          </cell>
        </row>
        <row r="73">
          <cell r="R73">
            <v>433.03</v>
          </cell>
        </row>
        <row r="74">
          <cell r="R74">
            <v>540.09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selection activeCell="F18" sqref="F18"/>
    </sheetView>
  </sheetViews>
  <sheetFormatPr baseColWidth="10" defaultRowHeight="15" x14ac:dyDescent="0.25"/>
  <cols>
    <col min="2" max="2" width="15" customWidth="1"/>
    <col min="3" max="3" width="13.7109375" customWidth="1"/>
    <col min="4" max="4" width="16.42578125" customWidth="1"/>
    <col min="5" max="5" width="18.42578125" customWidth="1"/>
    <col min="6" max="6" width="15.7109375" customWidth="1"/>
    <col min="10" max="10" width="11.140625" customWidth="1"/>
    <col min="11" max="11" width="11.42578125" hidden="1" customWidth="1"/>
    <col min="14" max="14" width="13.42578125" customWidth="1"/>
    <col min="15" max="15" width="12.7109375" customWidth="1"/>
    <col min="16" max="16" width="11.42578125" hidden="1" customWidth="1"/>
    <col min="17" max="17" width="12.140625" customWidth="1"/>
    <col min="18" max="18" width="0.140625" hidden="1" customWidth="1"/>
    <col min="19" max="20" width="11.42578125" hidden="1" customWidth="1"/>
    <col min="21" max="21" width="0.85546875" hidden="1" customWidth="1"/>
    <col min="23" max="24" width="11.42578125" hidden="1" customWidth="1"/>
  </cols>
  <sheetData>
    <row r="1" spans="1:29" ht="16.5" thickBot="1" x14ac:dyDescent="0.3">
      <c r="A1" s="13" t="s">
        <v>26</v>
      </c>
      <c r="B1" s="14"/>
      <c r="C1" s="15"/>
      <c r="D1" s="15"/>
      <c r="E1" s="16"/>
      <c r="F1" s="16"/>
      <c r="M1" s="13" t="s">
        <v>25</v>
      </c>
      <c r="N1" s="14"/>
      <c r="O1" s="15"/>
      <c r="P1" s="15"/>
      <c r="Q1" s="16"/>
      <c r="R1" s="16"/>
      <c r="S1" s="16"/>
      <c r="T1" s="17"/>
      <c r="U1" s="18"/>
      <c r="V1" s="16"/>
      <c r="W1" s="19"/>
      <c r="X1" s="20"/>
    </row>
    <row r="2" spans="1:29" ht="47.25" x14ac:dyDescent="0.25">
      <c r="A2" s="1" t="s">
        <v>0</v>
      </c>
      <c r="B2" s="1" t="s">
        <v>4</v>
      </c>
      <c r="C2" s="1" t="s">
        <v>5</v>
      </c>
      <c r="D2" s="1" t="s">
        <v>1</v>
      </c>
      <c r="E2" s="1" t="s">
        <v>2</v>
      </c>
      <c r="F2" s="1" t="s">
        <v>7</v>
      </c>
      <c r="G2" s="7">
        <v>0.02</v>
      </c>
      <c r="H2" s="8" t="s">
        <v>8</v>
      </c>
      <c r="I2" s="9" t="s">
        <v>9</v>
      </c>
      <c r="J2" s="9" t="s">
        <v>6</v>
      </c>
      <c r="M2" s="9" t="s">
        <v>10</v>
      </c>
      <c r="N2" s="6" t="s">
        <v>11</v>
      </c>
      <c r="O2" s="21" t="s">
        <v>12</v>
      </c>
      <c r="P2" s="21" t="s">
        <v>13</v>
      </c>
      <c r="Q2" s="21" t="s">
        <v>14</v>
      </c>
      <c r="R2" s="22" t="s">
        <v>15</v>
      </c>
      <c r="S2" s="22" t="s">
        <v>16</v>
      </c>
      <c r="T2" s="22" t="s">
        <v>17</v>
      </c>
      <c r="U2" s="22" t="s">
        <v>18</v>
      </c>
      <c r="V2" s="22" t="s">
        <v>19</v>
      </c>
      <c r="W2" s="22" t="s">
        <v>20</v>
      </c>
      <c r="X2" s="22" t="s">
        <v>21</v>
      </c>
      <c r="Y2" s="6" t="s">
        <v>6</v>
      </c>
      <c r="Z2" s="7">
        <v>0.02</v>
      </c>
      <c r="AA2" s="8" t="s">
        <v>8</v>
      </c>
      <c r="AB2" s="9" t="s">
        <v>9</v>
      </c>
      <c r="AC2" s="9" t="s">
        <v>23</v>
      </c>
    </row>
    <row r="3" spans="1:29" ht="15.75" x14ac:dyDescent="0.25">
      <c r="A3" s="2">
        <f>'[1]DIA 1'!B$6</f>
        <v>44470</v>
      </c>
      <c r="B3" s="3">
        <f>+'[1]DIA 1'!B$50</f>
        <v>74.11</v>
      </c>
      <c r="C3" s="3">
        <f>+'[1]DIA 1'!B$51</f>
        <v>3172.46</v>
      </c>
      <c r="D3" s="3">
        <f>+'[1]DIA 1'!G$50</f>
        <v>73.554175000000001</v>
      </c>
      <c r="E3" s="3">
        <f>+'[1]DIA 1'!G$51</f>
        <v>3124.8731000000002</v>
      </c>
      <c r="F3" s="3">
        <f>D3+E3</f>
        <v>3198.4272750000005</v>
      </c>
      <c r="G3" s="11">
        <f>F3*2%</f>
        <v>63.968545500000012</v>
      </c>
      <c r="H3" s="12">
        <f>F3-G3</f>
        <v>3134.4587295000006</v>
      </c>
      <c r="I3" s="11">
        <v>5.2</v>
      </c>
      <c r="J3" s="12">
        <f>H3/I3</f>
        <v>602.7805249038463</v>
      </c>
      <c r="M3" s="23">
        <v>44489</v>
      </c>
      <c r="N3" s="24" t="s">
        <v>22</v>
      </c>
      <c r="O3" s="25">
        <v>383.98</v>
      </c>
      <c r="P3" s="26"/>
      <c r="Q3" s="26"/>
      <c r="R3" s="10">
        <f>Q3/1.16*5%</f>
        <v>0</v>
      </c>
      <c r="S3" s="10">
        <f>O3*0.75%</f>
        <v>2.8798500000000002</v>
      </c>
      <c r="T3" s="10">
        <f>P3*0.53%</f>
        <v>0</v>
      </c>
      <c r="U3" s="10">
        <f>Q3*2.5%</f>
        <v>0</v>
      </c>
      <c r="V3" s="10">
        <f>O3-S3</f>
        <v>381.10015000000004</v>
      </c>
      <c r="W3" s="10">
        <f>P3-T3</f>
        <v>0</v>
      </c>
      <c r="X3" s="10">
        <f>Q3-R3-U3</f>
        <v>0</v>
      </c>
      <c r="Y3" s="10">
        <f>V3+X3</f>
        <v>381.10015000000004</v>
      </c>
      <c r="Z3" s="11">
        <f>Y3*2%</f>
        <v>7.6220030000000012</v>
      </c>
      <c r="AA3" s="12">
        <f>Y3-Z3</f>
        <v>373.47814700000004</v>
      </c>
      <c r="AB3" s="11">
        <v>4.1500000000000004</v>
      </c>
      <c r="AC3" s="12">
        <f>AA3/AB3</f>
        <v>89.994734216867471</v>
      </c>
    </row>
    <row r="4" spans="1:29" ht="15.75" x14ac:dyDescent="0.25">
      <c r="A4" s="2">
        <f>'[1]DIA 2'!B$6</f>
        <v>44471</v>
      </c>
      <c r="B4" s="3">
        <f>'[1]DIA 2'!B$50</f>
        <v>177.7</v>
      </c>
      <c r="C4" s="3">
        <f>'[1]DIA 2'!B$51</f>
        <v>2795.23</v>
      </c>
      <c r="D4" s="3">
        <f>'[1]DIA 2'!G$50</f>
        <v>176.36724999999998</v>
      </c>
      <c r="E4" s="3">
        <f>'[1]DIA 2'!G$51</f>
        <v>2753.3015500000001</v>
      </c>
      <c r="F4" s="3">
        <f t="shared" ref="F4:F32" si="0">D4+E4</f>
        <v>2929.6687999999999</v>
      </c>
      <c r="G4" s="11">
        <f t="shared" ref="G4:G33" si="1">F4*2%</f>
        <v>58.593375999999999</v>
      </c>
      <c r="H4" s="12">
        <f t="shared" ref="H4:H33" si="2">F4-G4</f>
        <v>2871.0754240000001</v>
      </c>
      <c r="I4" s="11">
        <v>4.2</v>
      </c>
      <c r="J4" s="12">
        <f t="shared" ref="J4:J33" si="3">H4/I4</f>
        <v>683.58938666666666</v>
      </c>
      <c r="M4" s="23">
        <v>44490</v>
      </c>
      <c r="N4" s="24" t="s">
        <v>22</v>
      </c>
      <c r="O4" s="25">
        <v>168.6</v>
      </c>
      <c r="P4" s="26"/>
      <c r="Q4" s="26"/>
      <c r="R4" s="10">
        <f t="shared" ref="R4:R14" si="4">Q4/1.16*5%</f>
        <v>0</v>
      </c>
      <c r="S4" s="10">
        <f>O4*0.75%</f>
        <v>1.2645</v>
      </c>
      <c r="T4" s="10">
        <f t="shared" ref="T4:T14" si="5">P4*0.53%</f>
        <v>0</v>
      </c>
      <c r="U4" s="10">
        <f>Q4*2.5%</f>
        <v>0</v>
      </c>
      <c r="V4" s="10">
        <f>O4-S4</f>
        <v>167.3355</v>
      </c>
      <c r="W4" s="10">
        <f t="shared" ref="W4:W14" si="6">P4-T4</f>
        <v>0</v>
      </c>
      <c r="X4" s="10">
        <f>Q4-R4-U4</f>
        <v>0</v>
      </c>
      <c r="Y4" s="10">
        <f>V4+X4</f>
        <v>167.3355</v>
      </c>
      <c r="Z4" s="11">
        <f>Y4*2%</f>
        <v>3.3467099999999999</v>
      </c>
      <c r="AA4" s="12">
        <f>Y4-Z4</f>
        <v>163.98878999999999</v>
      </c>
      <c r="AB4" s="11">
        <v>4.17</v>
      </c>
      <c r="AC4" s="12">
        <f t="shared" ref="AC4:AC14" si="7">AA4/AB4</f>
        <v>39.325848920863308</v>
      </c>
    </row>
    <row r="5" spans="1:29" ht="15.75" x14ac:dyDescent="0.25">
      <c r="A5" s="2">
        <f>'[1]DIA 3'!B$6</f>
        <v>44472</v>
      </c>
      <c r="B5" s="3">
        <f>'[1]DIA 3'!B$50</f>
        <v>86.859999999999985</v>
      </c>
      <c r="C5" s="3">
        <f>'[1]DIA 3'!B$51</f>
        <v>1241.24</v>
      </c>
      <c r="D5" s="3">
        <f>'[1]DIA 3'!G$50</f>
        <v>86.208549999999988</v>
      </c>
      <c r="E5" s="3">
        <f>'[1]DIA 3'!G$51</f>
        <v>1222.6214</v>
      </c>
      <c r="F5" s="3">
        <f t="shared" si="0"/>
        <v>1308.8299500000001</v>
      </c>
      <c r="G5" s="11">
        <f t="shared" si="1"/>
        <v>26.176599000000003</v>
      </c>
      <c r="H5" s="12">
        <f t="shared" si="2"/>
        <v>1282.6533510000002</v>
      </c>
      <c r="I5" s="11">
        <v>4.2</v>
      </c>
      <c r="J5" s="12">
        <f t="shared" si="3"/>
        <v>305.39365500000002</v>
      </c>
      <c r="M5" s="23">
        <v>44491</v>
      </c>
      <c r="N5" s="24" t="s">
        <v>22</v>
      </c>
      <c r="O5" s="25">
        <v>481.42</v>
      </c>
      <c r="P5" s="26"/>
      <c r="Q5" s="27"/>
      <c r="R5" s="10">
        <f t="shared" si="4"/>
        <v>0</v>
      </c>
      <c r="S5" s="10">
        <f>O5*0.75%</f>
        <v>3.6106500000000001</v>
      </c>
      <c r="T5" s="10">
        <f t="shared" si="5"/>
        <v>0</v>
      </c>
      <c r="U5" s="10">
        <f t="shared" ref="U5:U14" si="8">Q5*2.5%</f>
        <v>0</v>
      </c>
      <c r="V5" s="10">
        <f t="shared" ref="V5" si="9">O5-S5</f>
        <v>477.80934999999999</v>
      </c>
      <c r="W5" s="10">
        <f t="shared" si="6"/>
        <v>0</v>
      </c>
      <c r="X5" s="10">
        <f>Q5-R5-U5</f>
        <v>0</v>
      </c>
      <c r="Y5" s="10">
        <f>V5+X5</f>
        <v>477.80934999999999</v>
      </c>
      <c r="Z5" s="11">
        <f>Y5*2%</f>
        <v>9.5561869999999995</v>
      </c>
      <c r="AA5" s="12">
        <f t="shared" ref="AA5:AA14" si="10">Y5-Z5</f>
        <v>468.25316299999997</v>
      </c>
      <c r="AB5" s="11">
        <v>4.21</v>
      </c>
      <c r="AC5" s="12">
        <f t="shared" si="7"/>
        <v>111.22402921615202</v>
      </c>
    </row>
    <row r="6" spans="1:29" ht="15.75" x14ac:dyDescent="0.25">
      <c r="A6" s="2">
        <f>'[1]DIA 4'!B$6</f>
        <v>44473</v>
      </c>
      <c r="B6" s="3">
        <f>'[1]DIA 4'!B$50</f>
        <v>146.93</v>
      </c>
      <c r="C6" s="3">
        <f>'[1]DIA 4'!B$51</f>
        <v>1487.48</v>
      </c>
      <c r="D6" s="3">
        <f>'[1]DIA 4'!G$50</f>
        <v>145.828025</v>
      </c>
      <c r="E6" s="3">
        <f>'[1]DIA 4'!G$51</f>
        <v>1465.1677999999999</v>
      </c>
      <c r="F6" s="3">
        <f t="shared" si="0"/>
        <v>1610.995825</v>
      </c>
      <c r="G6" s="11">
        <f t="shared" si="1"/>
        <v>32.219916499999997</v>
      </c>
      <c r="H6" s="12">
        <f t="shared" si="2"/>
        <v>1578.7759085</v>
      </c>
      <c r="I6" s="11">
        <v>4.18</v>
      </c>
      <c r="J6" s="12">
        <f t="shared" si="3"/>
        <v>377.69758576555029</v>
      </c>
      <c r="M6" s="23">
        <v>44492</v>
      </c>
      <c r="N6" s="24" t="s">
        <v>22</v>
      </c>
      <c r="O6" s="25">
        <v>1479.04</v>
      </c>
      <c r="P6" s="26"/>
      <c r="Q6" s="25"/>
      <c r="R6" s="10">
        <f t="shared" si="4"/>
        <v>0</v>
      </c>
      <c r="S6" s="10">
        <f t="shared" ref="S6:S14" si="11">O6*0.75%</f>
        <v>11.092799999999999</v>
      </c>
      <c r="T6" s="10">
        <f t="shared" si="5"/>
        <v>0</v>
      </c>
      <c r="U6" s="10">
        <f t="shared" si="8"/>
        <v>0</v>
      </c>
      <c r="V6" s="10">
        <f>O6-S6</f>
        <v>1467.9472000000001</v>
      </c>
      <c r="W6" s="10">
        <f t="shared" si="6"/>
        <v>0</v>
      </c>
      <c r="X6" s="10">
        <f t="shared" ref="X6:X14" si="12">Q6-R6-U6</f>
        <v>0</v>
      </c>
      <c r="Y6" s="10">
        <f t="shared" ref="Y6:Y11" si="13">V6+X6</f>
        <v>1467.9472000000001</v>
      </c>
      <c r="Z6" s="11">
        <f>Y6*2%</f>
        <v>29.358944000000001</v>
      </c>
      <c r="AA6" s="12">
        <f t="shared" si="10"/>
        <v>1438.588256</v>
      </c>
      <c r="AB6" s="11">
        <v>4.24</v>
      </c>
      <c r="AC6" s="12">
        <f t="shared" si="7"/>
        <v>339.28968301886789</v>
      </c>
    </row>
    <row r="7" spans="1:29" ht="15.75" x14ac:dyDescent="0.25">
      <c r="A7" s="2">
        <f>'[1]DIA 5'!B$6</f>
        <v>44474</v>
      </c>
      <c r="B7" s="3">
        <f>'[1]DIA 5'!B$50</f>
        <v>190.55</v>
      </c>
      <c r="C7" s="3">
        <f>'[1]DIA 5'!B$51</f>
        <v>1615.54</v>
      </c>
      <c r="D7" s="3">
        <f>'[1]DIA 5'!G$50</f>
        <v>189.12087500000001</v>
      </c>
      <c r="E7" s="3">
        <f>'[1]DIA 5'!G$51</f>
        <v>1591.3069</v>
      </c>
      <c r="F7" s="3">
        <f t="shared" si="0"/>
        <v>1780.4277750000001</v>
      </c>
      <c r="G7" s="11">
        <f t="shared" si="1"/>
        <v>35.608555500000001</v>
      </c>
      <c r="H7" s="12">
        <f t="shared" si="2"/>
        <v>1744.8192195000001</v>
      </c>
      <c r="I7" s="11">
        <v>4.18</v>
      </c>
      <c r="J7" s="12">
        <f t="shared" si="3"/>
        <v>417.42086590909099</v>
      </c>
      <c r="M7" s="23">
        <v>44493</v>
      </c>
      <c r="N7" s="24" t="s">
        <v>22</v>
      </c>
      <c r="O7" s="25">
        <v>500.39</v>
      </c>
      <c r="P7" s="26"/>
      <c r="Q7" s="25"/>
      <c r="R7" s="10">
        <f t="shared" si="4"/>
        <v>0</v>
      </c>
      <c r="S7" s="10">
        <f t="shared" si="11"/>
        <v>3.7529249999999998</v>
      </c>
      <c r="T7" s="10">
        <f t="shared" si="5"/>
        <v>0</v>
      </c>
      <c r="U7" s="10">
        <f t="shared" si="8"/>
        <v>0</v>
      </c>
      <c r="V7" s="10">
        <f t="shared" ref="V7:V9" si="14">O7-S7</f>
        <v>496.63707499999998</v>
      </c>
      <c r="W7" s="10">
        <f t="shared" si="6"/>
        <v>0</v>
      </c>
      <c r="X7" s="10">
        <f t="shared" si="12"/>
        <v>0</v>
      </c>
      <c r="Y7" s="10">
        <f t="shared" si="13"/>
        <v>496.63707499999998</v>
      </c>
      <c r="Z7" s="11">
        <f>Y7*2%</f>
        <v>9.9327415000000006</v>
      </c>
      <c r="AA7" s="12">
        <f t="shared" si="10"/>
        <v>486.70433349999996</v>
      </c>
      <c r="AB7" s="11">
        <v>4.24</v>
      </c>
      <c r="AC7" s="12">
        <f t="shared" si="7"/>
        <v>114.78875790094338</v>
      </c>
    </row>
    <row r="8" spans="1:29" ht="15.75" x14ac:dyDescent="0.25">
      <c r="A8" s="2">
        <f>'[1]DIA 6'!B$6</f>
        <v>44475</v>
      </c>
      <c r="B8" s="3">
        <f>'[1]DIA 6'!B$50</f>
        <v>63.14</v>
      </c>
      <c r="C8" s="3">
        <f>'[1]DIA 6'!B$51</f>
        <v>1258.5899999999999</v>
      </c>
      <c r="D8" s="3">
        <f>'[1]DIA 6'!G$50</f>
        <v>62.666449999999998</v>
      </c>
      <c r="E8" s="3">
        <f>'[1]DIA 6'!G$51</f>
        <v>1239.7111499999999</v>
      </c>
      <c r="F8" s="3">
        <f t="shared" si="0"/>
        <v>1302.3775999999998</v>
      </c>
      <c r="G8" s="11">
        <f t="shared" si="1"/>
        <v>26.047551999999996</v>
      </c>
      <c r="H8" s="12">
        <f t="shared" si="2"/>
        <v>1276.3300479999998</v>
      </c>
      <c r="I8" s="11">
        <v>4.1900000000000004</v>
      </c>
      <c r="J8" s="12">
        <f t="shared" si="3"/>
        <v>304.61337661097843</v>
      </c>
      <c r="M8" s="23">
        <v>44494</v>
      </c>
      <c r="N8" s="24" t="s">
        <v>22</v>
      </c>
      <c r="O8" s="25">
        <v>510.11</v>
      </c>
      <c r="P8" s="26"/>
      <c r="Q8" s="25"/>
      <c r="R8" s="10">
        <f t="shared" si="4"/>
        <v>0</v>
      </c>
      <c r="S8" s="10">
        <f t="shared" si="11"/>
        <v>3.825825</v>
      </c>
      <c r="T8" s="10">
        <f t="shared" si="5"/>
        <v>0</v>
      </c>
      <c r="U8" s="10">
        <f t="shared" si="8"/>
        <v>0</v>
      </c>
      <c r="V8" s="10">
        <f t="shared" si="14"/>
        <v>506.284175</v>
      </c>
      <c r="W8" s="10">
        <f t="shared" si="6"/>
        <v>0</v>
      </c>
      <c r="X8" s="10">
        <f t="shared" si="12"/>
        <v>0</v>
      </c>
      <c r="Y8" s="10">
        <f>V8+X8</f>
        <v>506.284175</v>
      </c>
      <c r="Z8" s="11">
        <f t="shared" ref="Z8:Z14" si="15">Y8*2%</f>
        <v>10.125683500000001</v>
      </c>
      <c r="AA8" s="12">
        <f>Y8-Z8</f>
        <v>496.15849150000003</v>
      </c>
      <c r="AB8" s="11">
        <v>4.24</v>
      </c>
      <c r="AC8" s="12">
        <f t="shared" si="7"/>
        <v>117.01851214622641</v>
      </c>
    </row>
    <row r="9" spans="1:29" ht="15.75" x14ac:dyDescent="0.25">
      <c r="A9" s="2">
        <f>'[1]DIA 7'!B$6</f>
        <v>44476</v>
      </c>
      <c r="B9" s="3">
        <f>'[1]DIA 7'!B$50</f>
        <v>255.95000000000002</v>
      </c>
      <c r="C9" s="3">
        <f>'[1]DIA 7'!B$51</f>
        <v>1226.72</v>
      </c>
      <c r="D9" s="3">
        <f>'[1]DIA 7'!G$50</f>
        <v>254.03037500000002</v>
      </c>
      <c r="E9" s="3">
        <f>'[1]DIA 7'!G$51</f>
        <v>1208.3192000000001</v>
      </c>
      <c r="F9" s="3">
        <f t="shared" si="0"/>
        <v>1462.3495750000002</v>
      </c>
      <c r="G9" s="11">
        <f t="shared" si="1"/>
        <v>29.246991500000004</v>
      </c>
      <c r="H9" s="12">
        <f t="shared" si="2"/>
        <v>1433.1025835000003</v>
      </c>
      <c r="I9" s="11">
        <v>4.17</v>
      </c>
      <c r="J9" s="12">
        <f t="shared" si="3"/>
        <v>343.66968429256599</v>
      </c>
      <c r="M9" s="23">
        <v>44495</v>
      </c>
      <c r="N9" s="24" t="s">
        <v>22</v>
      </c>
      <c r="O9" s="25">
        <v>420.96</v>
      </c>
      <c r="P9" s="26"/>
      <c r="Q9" s="25"/>
      <c r="R9" s="10">
        <f t="shared" si="4"/>
        <v>0</v>
      </c>
      <c r="S9" s="10">
        <f t="shared" si="11"/>
        <v>3.1571999999999996</v>
      </c>
      <c r="T9" s="10">
        <f t="shared" si="5"/>
        <v>0</v>
      </c>
      <c r="U9" s="10">
        <f t="shared" si="8"/>
        <v>0</v>
      </c>
      <c r="V9" s="28">
        <f t="shared" si="14"/>
        <v>417.80279999999999</v>
      </c>
      <c r="W9" s="28">
        <f t="shared" si="6"/>
        <v>0</v>
      </c>
      <c r="X9" s="28">
        <f t="shared" si="12"/>
        <v>0</v>
      </c>
      <c r="Y9" s="10">
        <f t="shared" si="13"/>
        <v>417.80279999999999</v>
      </c>
      <c r="Z9" s="11">
        <f t="shared" si="15"/>
        <v>8.3560560000000006</v>
      </c>
      <c r="AA9" s="12">
        <f t="shared" si="10"/>
        <v>409.44674399999997</v>
      </c>
      <c r="AB9" s="11">
        <v>4.2699999999999996</v>
      </c>
      <c r="AC9" s="12">
        <f t="shared" si="7"/>
        <v>95.88916721311476</v>
      </c>
    </row>
    <row r="10" spans="1:29" ht="15.75" x14ac:dyDescent="0.25">
      <c r="A10" s="2">
        <f>'[1]DIA 8'!B$6</f>
        <v>44477</v>
      </c>
      <c r="B10" s="3">
        <f>'[1]DIA 8'!B$50</f>
        <v>204.26999999999998</v>
      </c>
      <c r="C10" s="3">
        <f>'[1]DIA 8'!B$51</f>
        <v>857.83</v>
      </c>
      <c r="D10" s="3">
        <f>'[1]DIA 8'!G$50</f>
        <v>202.73797499999998</v>
      </c>
      <c r="E10" s="3">
        <f>'[1]DIA 8'!G$51</f>
        <v>844.96255000000008</v>
      </c>
      <c r="F10" s="3">
        <f t="shared" si="0"/>
        <v>1047.700525</v>
      </c>
      <c r="G10" s="11">
        <f t="shared" si="1"/>
        <v>20.954010499999999</v>
      </c>
      <c r="H10" s="12">
        <f t="shared" si="2"/>
        <v>1026.7465144999999</v>
      </c>
      <c r="I10" s="11">
        <v>4.17</v>
      </c>
      <c r="J10" s="12">
        <f t="shared" si="3"/>
        <v>246.22218573141484</v>
      </c>
      <c r="M10" s="23">
        <v>44496</v>
      </c>
      <c r="N10" s="24" t="s">
        <v>22</v>
      </c>
      <c r="O10" s="25">
        <v>350.29</v>
      </c>
      <c r="P10" s="26"/>
      <c r="Q10" s="25"/>
      <c r="R10" s="10">
        <f t="shared" si="4"/>
        <v>0</v>
      </c>
      <c r="S10" s="10">
        <f t="shared" si="11"/>
        <v>2.6271750000000003</v>
      </c>
      <c r="T10" s="10">
        <f t="shared" si="5"/>
        <v>0</v>
      </c>
      <c r="U10" s="10">
        <f t="shared" si="8"/>
        <v>0</v>
      </c>
      <c r="V10" s="28">
        <f>O10-S10</f>
        <v>347.662825</v>
      </c>
      <c r="W10" s="10">
        <f t="shared" si="6"/>
        <v>0</v>
      </c>
      <c r="X10" s="29">
        <f t="shared" si="12"/>
        <v>0</v>
      </c>
      <c r="Y10" s="10">
        <f t="shared" si="13"/>
        <v>347.662825</v>
      </c>
      <c r="Z10" s="11">
        <f t="shared" si="15"/>
        <v>6.9532565000000002</v>
      </c>
      <c r="AA10" s="12">
        <f t="shared" si="10"/>
        <v>340.70956849999999</v>
      </c>
      <c r="AB10" s="11">
        <v>4.29</v>
      </c>
      <c r="AC10" s="12">
        <f t="shared" si="7"/>
        <v>79.419479836829836</v>
      </c>
    </row>
    <row r="11" spans="1:29" ht="15.75" x14ac:dyDescent="0.25">
      <c r="A11" s="2">
        <f>'[1]DIA 9'!B$6</f>
        <v>44478</v>
      </c>
      <c r="B11" s="3">
        <f>'[1]DIA 9'!B$50</f>
        <v>253.46</v>
      </c>
      <c r="C11" s="3">
        <f>'[1]DIA 9'!B$51</f>
        <v>799.87</v>
      </c>
      <c r="D11" s="3">
        <f>'[1]DIA 9'!G$50</f>
        <v>251.55905000000001</v>
      </c>
      <c r="E11" s="3">
        <f>'[1]DIA 9'!G$51</f>
        <v>787.87194999999997</v>
      </c>
      <c r="F11" s="3">
        <f t="shared" si="0"/>
        <v>1039.431</v>
      </c>
      <c r="G11" s="11">
        <f t="shared" si="1"/>
        <v>20.788620000000002</v>
      </c>
      <c r="H11" s="12">
        <f t="shared" si="2"/>
        <v>1018.64238</v>
      </c>
      <c r="I11" s="11">
        <v>4.16</v>
      </c>
      <c r="J11" s="12">
        <f t="shared" si="3"/>
        <v>244.86595673076923</v>
      </c>
      <c r="M11" s="23">
        <v>44497</v>
      </c>
      <c r="N11" s="24" t="s">
        <v>22</v>
      </c>
      <c r="O11" s="25">
        <v>898.21</v>
      </c>
      <c r="P11" s="26"/>
      <c r="Q11" s="25"/>
      <c r="R11" s="10">
        <f t="shared" si="4"/>
        <v>0</v>
      </c>
      <c r="S11" s="10">
        <f t="shared" si="11"/>
        <v>6.7365750000000002</v>
      </c>
      <c r="T11" s="10">
        <f t="shared" si="5"/>
        <v>0</v>
      </c>
      <c r="U11" s="10">
        <f t="shared" si="8"/>
        <v>0</v>
      </c>
      <c r="V11" s="28">
        <f>O11-S11</f>
        <v>891.47342500000002</v>
      </c>
      <c r="W11" s="10">
        <f t="shared" si="6"/>
        <v>0</v>
      </c>
      <c r="X11" s="29">
        <f t="shared" si="12"/>
        <v>0</v>
      </c>
      <c r="Y11" s="10">
        <f t="shared" si="13"/>
        <v>891.47342500000002</v>
      </c>
      <c r="Z11" s="11">
        <f t="shared" si="15"/>
        <v>17.829468500000001</v>
      </c>
      <c r="AA11" s="12">
        <f t="shared" si="10"/>
        <v>873.64395650000006</v>
      </c>
      <c r="AB11" s="11">
        <v>4.32</v>
      </c>
      <c r="AC11" s="12">
        <f t="shared" si="7"/>
        <v>202.23239733796296</v>
      </c>
    </row>
    <row r="12" spans="1:29" ht="15.75" x14ac:dyDescent="0.25">
      <c r="A12" s="2">
        <f>'[1]DIA 10'!B$6</f>
        <v>44479</v>
      </c>
      <c r="B12" s="3">
        <f>'[1]DIA 10'!B$50</f>
        <v>92.94</v>
      </c>
      <c r="C12" s="3">
        <f>'[1]DIA 10'!B$51</f>
        <v>368.93</v>
      </c>
      <c r="D12" s="3">
        <f>'[1]DIA 10'!G$50</f>
        <v>92.242949999999993</v>
      </c>
      <c r="E12" s="3">
        <f>'[1]DIA 10'!G$51</f>
        <v>363.39605</v>
      </c>
      <c r="F12" s="3">
        <f t="shared" si="0"/>
        <v>455.63900000000001</v>
      </c>
      <c r="G12" s="11">
        <f t="shared" si="1"/>
        <v>9.1127800000000008</v>
      </c>
      <c r="H12" s="12">
        <f t="shared" si="2"/>
        <v>446.52622000000002</v>
      </c>
      <c r="I12" s="11">
        <v>4.16</v>
      </c>
      <c r="J12" s="12">
        <f t="shared" si="3"/>
        <v>107.33803365384615</v>
      </c>
      <c r="M12" s="23">
        <v>44498</v>
      </c>
      <c r="N12" s="24" t="s">
        <v>22</v>
      </c>
      <c r="O12" s="25">
        <v>141.47</v>
      </c>
      <c r="P12" s="26"/>
      <c r="Q12" s="25"/>
      <c r="R12" s="10">
        <f t="shared" si="4"/>
        <v>0</v>
      </c>
      <c r="S12" s="10">
        <f t="shared" si="11"/>
        <v>1.0610249999999999</v>
      </c>
      <c r="T12" s="10">
        <f t="shared" si="5"/>
        <v>0</v>
      </c>
      <c r="U12" s="10">
        <f t="shared" si="8"/>
        <v>0</v>
      </c>
      <c r="V12" s="28">
        <f t="shared" ref="V12:V14" si="16">O12-S12</f>
        <v>140.408975</v>
      </c>
      <c r="W12" s="10">
        <f t="shared" si="6"/>
        <v>0</v>
      </c>
      <c r="X12" s="10">
        <f t="shared" si="12"/>
        <v>0</v>
      </c>
      <c r="Y12" s="10">
        <f>V12+X12</f>
        <v>140.408975</v>
      </c>
      <c r="Z12" s="11">
        <f t="shared" si="15"/>
        <v>2.8081795000000001</v>
      </c>
      <c r="AA12" s="12">
        <f t="shared" si="10"/>
        <v>137.6007955</v>
      </c>
      <c r="AB12" s="11">
        <v>4.38</v>
      </c>
      <c r="AC12" s="12">
        <f t="shared" si="7"/>
        <v>31.415706735159819</v>
      </c>
    </row>
    <row r="13" spans="1:29" ht="15.75" x14ac:dyDescent="0.25">
      <c r="A13" s="2">
        <f>'[1]DIA 11'!B$6</f>
        <v>44480</v>
      </c>
      <c r="B13" s="3">
        <f>'[1]DIA 11'!B$50</f>
        <v>85.38</v>
      </c>
      <c r="C13" s="3">
        <f>'[1]DIA 11'!B$51</f>
        <v>370.15</v>
      </c>
      <c r="D13" s="3">
        <f>'[1]DIA 11'!G$50</f>
        <v>84.739649999999997</v>
      </c>
      <c r="E13" s="3">
        <f>'[1]DIA 11'!G$51</f>
        <v>364.59774999999996</v>
      </c>
      <c r="F13" s="3">
        <f t="shared" si="0"/>
        <v>449.33739999999995</v>
      </c>
      <c r="G13" s="11">
        <f t="shared" si="1"/>
        <v>8.9867479999999986</v>
      </c>
      <c r="H13" s="12">
        <f t="shared" si="2"/>
        <v>440.35065199999997</v>
      </c>
      <c r="I13" s="11">
        <v>4.16</v>
      </c>
      <c r="J13" s="12">
        <f t="shared" si="3"/>
        <v>105.85352211538461</v>
      </c>
      <c r="M13" s="23">
        <v>44499</v>
      </c>
      <c r="N13" s="24" t="s">
        <v>22</v>
      </c>
      <c r="O13" s="26">
        <v>277.08999999999997</v>
      </c>
      <c r="P13" s="26"/>
      <c r="Q13" s="26"/>
      <c r="R13" s="10">
        <f t="shared" si="4"/>
        <v>0</v>
      </c>
      <c r="S13" s="10">
        <f t="shared" si="11"/>
        <v>2.0781749999999999</v>
      </c>
      <c r="T13" s="10">
        <f t="shared" si="5"/>
        <v>0</v>
      </c>
      <c r="U13" s="10">
        <f t="shared" si="8"/>
        <v>0</v>
      </c>
      <c r="V13" s="28">
        <f t="shared" si="16"/>
        <v>275.01182499999999</v>
      </c>
      <c r="W13" s="10">
        <f t="shared" si="6"/>
        <v>0</v>
      </c>
      <c r="X13" s="10">
        <f t="shared" si="12"/>
        <v>0</v>
      </c>
      <c r="Y13" s="10">
        <f t="shared" ref="Y13:Y14" si="17">V13+X13</f>
        <v>275.01182499999999</v>
      </c>
      <c r="Z13" s="11">
        <f t="shared" si="15"/>
        <v>5.5002364999999998</v>
      </c>
      <c r="AA13" s="12">
        <f t="shared" si="10"/>
        <v>269.51158850000002</v>
      </c>
      <c r="AB13" s="11">
        <v>4.38</v>
      </c>
      <c r="AC13" s="12">
        <f t="shared" si="7"/>
        <v>61.532326141552517</v>
      </c>
    </row>
    <row r="14" spans="1:29" ht="15.75" x14ac:dyDescent="0.25">
      <c r="A14" s="2">
        <f>'[1]DIA 12'!B$6</f>
        <v>44481</v>
      </c>
      <c r="B14" s="3">
        <f>'[1]DIA 12'!B$50</f>
        <v>203.10999999999999</v>
      </c>
      <c r="C14" s="3">
        <f>'[1]DIA 12'!B$51</f>
        <v>1832.04</v>
      </c>
      <c r="D14" s="3">
        <f>'[1]DIA 12'!G$50</f>
        <v>201.58667499999999</v>
      </c>
      <c r="E14" s="3">
        <f>'[1]DIA 12'!G$51</f>
        <v>1804.5593999999999</v>
      </c>
      <c r="F14" s="3">
        <f t="shared" si="0"/>
        <v>2006.1460749999999</v>
      </c>
      <c r="G14" s="11">
        <f t="shared" si="1"/>
        <v>40.122921499999997</v>
      </c>
      <c r="H14" s="12">
        <f t="shared" si="2"/>
        <v>1966.0231534999998</v>
      </c>
      <c r="I14" s="11">
        <v>4.16</v>
      </c>
      <c r="J14" s="12">
        <f t="shared" si="3"/>
        <v>472.60171959134607</v>
      </c>
      <c r="M14" s="23">
        <v>44500</v>
      </c>
      <c r="N14" s="24" t="s">
        <v>22</v>
      </c>
      <c r="O14" s="26">
        <v>87.51</v>
      </c>
      <c r="P14" s="26"/>
      <c r="Q14" s="26"/>
      <c r="R14" s="10">
        <f t="shared" si="4"/>
        <v>0</v>
      </c>
      <c r="S14" s="10">
        <f t="shared" si="11"/>
        <v>0.65632500000000005</v>
      </c>
      <c r="T14" s="10">
        <f t="shared" si="5"/>
        <v>0</v>
      </c>
      <c r="U14" s="10">
        <f t="shared" si="8"/>
        <v>0</v>
      </c>
      <c r="V14" s="28">
        <f t="shared" si="16"/>
        <v>86.85367500000001</v>
      </c>
      <c r="W14" s="10">
        <f t="shared" si="6"/>
        <v>0</v>
      </c>
      <c r="X14" s="10">
        <f t="shared" si="12"/>
        <v>0</v>
      </c>
      <c r="Y14" s="10">
        <f t="shared" si="17"/>
        <v>86.85367500000001</v>
      </c>
      <c r="Z14" s="11">
        <f t="shared" si="15"/>
        <v>1.7370735000000002</v>
      </c>
      <c r="AA14" s="12">
        <f t="shared" si="10"/>
        <v>85.116601500000016</v>
      </c>
      <c r="AB14" s="11">
        <v>4.38</v>
      </c>
      <c r="AC14" s="12">
        <f t="shared" si="7"/>
        <v>19.433014041095895</v>
      </c>
    </row>
    <row r="15" spans="1:29" ht="15.75" x14ac:dyDescent="0.25">
      <c r="A15" s="2">
        <f>'[1]DIA 13'!B$6</f>
        <v>44482</v>
      </c>
      <c r="B15" s="3">
        <f>'[1]DIA 13'!B$50</f>
        <v>159.17999999999998</v>
      </c>
      <c r="C15" s="3">
        <f>'[1]DIA 13'!B$51</f>
        <v>1810.01</v>
      </c>
      <c r="D15" s="3">
        <f>'[1]DIA 13'!G$50</f>
        <v>157.98614999999998</v>
      </c>
      <c r="E15" s="3">
        <f>'[1]DIA 13'!G$51</f>
        <v>1782.8598500000001</v>
      </c>
      <c r="F15" s="3">
        <f t="shared" si="0"/>
        <v>1940.846</v>
      </c>
      <c r="G15" s="11">
        <f t="shared" si="1"/>
        <v>38.816920000000003</v>
      </c>
      <c r="H15" s="12">
        <f t="shared" si="2"/>
        <v>1902.02908</v>
      </c>
      <c r="I15" s="11">
        <v>4.16</v>
      </c>
      <c r="J15" s="12">
        <f t="shared" si="3"/>
        <v>457.21852884615384</v>
      </c>
      <c r="M15" s="33"/>
      <c r="N15" s="34"/>
      <c r="O15" s="35"/>
      <c r="P15" s="35"/>
      <c r="Q15" s="35"/>
      <c r="R15" s="37"/>
      <c r="S15" s="37"/>
      <c r="T15" s="37"/>
      <c r="U15" s="37"/>
      <c r="V15" s="37"/>
      <c r="W15" s="37"/>
      <c r="X15" s="37"/>
      <c r="Y15" s="37"/>
      <c r="Z15" s="40" t="s">
        <v>6</v>
      </c>
      <c r="AA15" s="41">
        <f>SUM(AA3:AA14)</f>
        <v>5543.200435499999</v>
      </c>
      <c r="AB15" s="16"/>
      <c r="AC15" s="42">
        <f>SUM(AC3:AC14)</f>
        <v>1301.5636567256363</v>
      </c>
    </row>
    <row r="16" spans="1:29" ht="15.75" x14ac:dyDescent="0.25">
      <c r="A16" s="2">
        <f>'[1]DIA 14'!B$6</f>
        <v>44483</v>
      </c>
      <c r="B16" s="3">
        <f>'[1]DIA 14'!B$50</f>
        <v>247.07</v>
      </c>
      <c r="C16" s="3">
        <f>'[1]DIA 14'!B$51</f>
        <v>1502.39</v>
      </c>
      <c r="D16" s="3">
        <f>'[1]DIA 14'!G$50</f>
        <v>245.21697499999999</v>
      </c>
      <c r="E16" s="3">
        <f>'[1]DIA 14'!G$51</f>
        <v>1479.8541500000001</v>
      </c>
      <c r="F16" s="3">
        <f t="shared" si="0"/>
        <v>1725.0711250000002</v>
      </c>
      <c r="G16" s="11">
        <f t="shared" si="1"/>
        <v>34.501422500000004</v>
      </c>
      <c r="H16" s="12">
        <f t="shared" si="2"/>
        <v>1690.5697025000002</v>
      </c>
      <c r="I16" s="11">
        <v>4.18</v>
      </c>
      <c r="J16" s="12">
        <f t="shared" si="3"/>
        <v>404.44251255980868</v>
      </c>
      <c r="M16" s="33"/>
      <c r="N16" s="34"/>
      <c r="O16" s="35"/>
      <c r="P16" s="35"/>
      <c r="Q16" s="35"/>
      <c r="R16" s="37"/>
      <c r="S16" s="37"/>
      <c r="T16" s="37"/>
      <c r="U16" s="37"/>
      <c r="V16" s="37"/>
      <c r="W16" s="37"/>
      <c r="X16" s="37"/>
      <c r="Y16" s="37"/>
      <c r="Z16" s="16"/>
      <c r="AA16" s="17"/>
      <c r="AB16" s="16"/>
      <c r="AC16" s="38"/>
    </row>
    <row r="17" spans="1:30" ht="15.75" x14ac:dyDescent="0.25">
      <c r="A17" s="2">
        <f>'[1]DIA 15'!B$6</f>
        <v>44484</v>
      </c>
      <c r="B17" s="3">
        <f>'[1]DIA 15'!B$50</f>
        <v>216.37</v>
      </c>
      <c r="C17" s="3">
        <f>'[1]DIA 15'!B$51</f>
        <v>1889.2800000000002</v>
      </c>
      <c r="D17" s="3">
        <f>'[1]DIA 15'!G$50</f>
        <v>214.74722500000001</v>
      </c>
      <c r="E17" s="3">
        <f>'[1]DIA 15'!G$51</f>
        <v>1860.9408000000003</v>
      </c>
      <c r="F17" s="3">
        <f t="shared" si="0"/>
        <v>2075.6880250000004</v>
      </c>
      <c r="G17" s="11">
        <f t="shared" si="1"/>
        <v>41.513760500000011</v>
      </c>
      <c r="H17" s="12">
        <f t="shared" si="2"/>
        <v>2034.1742645000004</v>
      </c>
      <c r="I17" s="11">
        <v>4.18</v>
      </c>
      <c r="J17" s="12">
        <f t="shared" si="3"/>
        <v>486.64456088516761</v>
      </c>
      <c r="M17" s="33"/>
      <c r="N17" s="34"/>
      <c r="O17" s="35"/>
      <c r="P17" s="35"/>
      <c r="Q17" s="35"/>
      <c r="R17" s="36"/>
      <c r="S17" s="36"/>
      <c r="T17" s="37"/>
      <c r="U17" s="37"/>
      <c r="V17" s="37"/>
      <c r="W17" s="37"/>
      <c r="X17" s="37"/>
      <c r="Y17" s="37"/>
      <c r="Z17" s="16"/>
      <c r="AA17" s="17"/>
      <c r="AB17" s="16"/>
      <c r="AC17" s="17"/>
      <c r="AD17" s="20"/>
    </row>
    <row r="18" spans="1:30" ht="15.75" x14ac:dyDescent="0.25">
      <c r="A18" s="2">
        <f>'[1]DIA 16'!B$6</f>
        <v>44485</v>
      </c>
      <c r="B18" s="3">
        <f>'[1]DIA 16'!B$50</f>
        <v>840.96</v>
      </c>
      <c r="C18" s="3">
        <f>'[1]DIA 16'!B$51</f>
        <v>1673.3</v>
      </c>
      <c r="D18" s="3">
        <f>'[1]DIA 16'!G$50</f>
        <v>834.65280000000007</v>
      </c>
      <c r="E18" s="3">
        <f>'[1]DIA 16'!G$51</f>
        <v>1648.2004999999999</v>
      </c>
      <c r="F18" s="3">
        <f t="shared" si="0"/>
        <v>2482.8532999999998</v>
      </c>
      <c r="G18" s="11">
        <f t="shared" si="1"/>
        <v>49.657065999999993</v>
      </c>
      <c r="H18" s="12">
        <f t="shared" si="2"/>
        <v>2433.1962339999995</v>
      </c>
      <c r="I18" s="11">
        <v>4.16</v>
      </c>
      <c r="J18" s="12">
        <f t="shared" si="3"/>
        <v>584.90294086538449</v>
      </c>
      <c r="M18" s="33"/>
      <c r="N18" s="34"/>
      <c r="O18" s="35"/>
      <c r="P18" s="35"/>
      <c r="Q18" s="35"/>
      <c r="R18" s="36"/>
      <c r="S18" s="36"/>
      <c r="T18" s="37"/>
      <c r="U18" s="37"/>
      <c r="V18" s="37"/>
      <c r="W18" s="37"/>
      <c r="X18" s="37"/>
      <c r="Y18" s="37"/>
      <c r="Z18" s="16"/>
      <c r="AA18" s="17"/>
      <c r="AB18" s="16"/>
      <c r="AC18" s="17"/>
      <c r="AD18" s="20"/>
    </row>
    <row r="19" spans="1:30" ht="15.75" x14ac:dyDescent="0.25">
      <c r="A19" s="2">
        <f>'[1]DIA 17'!B$6</f>
        <v>44486</v>
      </c>
      <c r="B19" s="3">
        <f>'[1]DIA 17'!B$50</f>
        <v>254.39</v>
      </c>
      <c r="C19" s="3">
        <f>'[1]DIA 17'!B$51</f>
        <v>845.53</v>
      </c>
      <c r="D19" s="3">
        <f>'[1]DIA 17'!G$50</f>
        <v>252.48207499999998</v>
      </c>
      <c r="E19" s="3">
        <f>'[1]DIA 17'!G$51</f>
        <v>832.84704999999997</v>
      </c>
      <c r="F19" s="3">
        <f t="shared" si="0"/>
        <v>1085.329125</v>
      </c>
      <c r="G19" s="11">
        <f t="shared" si="1"/>
        <v>21.7065825</v>
      </c>
      <c r="H19" s="12">
        <f t="shared" si="2"/>
        <v>1063.6225425</v>
      </c>
      <c r="I19" s="11">
        <v>4.16</v>
      </c>
      <c r="J19" s="12">
        <f t="shared" si="3"/>
        <v>255.67849579326924</v>
      </c>
      <c r="M19" s="13"/>
      <c r="N19" s="14"/>
      <c r="O19" s="16"/>
      <c r="P19" s="16"/>
      <c r="Q19" s="16"/>
      <c r="R19" s="16"/>
      <c r="S19" s="16"/>
      <c r="T19" s="17"/>
      <c r="U19" s="18"/>
      <c r="V19" s="16"/>
      <c r="W19" s="19"/>
      <c r="X19" s="20"/>
      <c r="Y19" s="20"/>
      <c r="Z19" s="20"/>
      <c r="AA19" s="17"/>
      <c r="AB19" s="20"/>
      <c r="AC19" s="17"/>
      <c r="AD19" s="20"/>
    </row>
    <row r="20" spans="1:30" ht="15.75" x14ac:dyDescent="0.25">
      <c r="A20" s="2">
        <f>'[1]DIA 18'!B$6</f>
        <v>44487</v>
      </c>
      <c r="B20" s="3">
        <f>'[1]DIA 18'!B$50</f>
        <v>168.08999999999997</v>
      </c>
      <c r="C20" s="3">
        <f>'[1]DIA 18'!B$51</f>
        <v>819.28</v>
      </c>
      <c r="D20" s="3">
        <f>'[1]DIA 18'!G$50</f>
        <v>166.82932499999998</v>
      </c>
      <c r="E20" s="3">
        <f>'[1]DIA 18'!G$51</f>
        <v>806.99079999999992</v>
      </c>
      <c r="F20" s="3">
        <f t="shared" si="0"/>
        <v>973.82012499999996</v>
      </c>
      <c r="G20" s="11">
        <f t="shared" si="1"/>
        <v>19.476402499999999</v>
      </c>
      <c r="H20" s="12">
        <f t="shared" si="2"/>
        <v>954.34372250000001</v>
      </c>
      <c r="I20" s="11">
        <v>4.16</v>
      </c>
      <c r="J20" s="12">
        <f t="shared" si="3"/>
        <v>229.4095486778846</v>
      </c>
      <c r="M20" s="13"/>
      <c r="N20" s="14"/>
      <c r="O20" s="16"/>
      <c r="P20" s="16"/>
      <c r="Q20" s="16"/>
      <c r="R20" s="16"/>
      <c r="S20" s="16"/>
      <c r="T20" s="17"/>
      <c r="U20" s="18"/>
      <c r="V20" s="16"/>
      <c r="W20" s="19"/>
      <c r="X20" s="20"/>
      <c r="Y20" s="20"/>
      <c r="Z20" s="20"/>
      <c r="AA20" s="20"/>
      <c r="AB20" s="20"/>
      <c r="AC20" s="20"/>
      <c r="AD20" s="20"/>
    </row>
    <row r="21" spans="1:30" x14ac:dyDescent="0.25">
      <c r="A21" s="2">
        <f>'[1]DIA 19'!B$6</f>
        <v>44488</v>
      </c>
      <c r="B21" s="3">
        <f>'[1]DIA 19'!B$50</f>
        <v>365.13</v>
      </c>
      <c r="C21" s="3">
        <f>'[1]DIA 19'!B$51</f>
        <v>1010.9999999999999</v>
      </c>
      <c r="D21" s="3">
        <f>'[1]DIA 19'!G$50</f>
        <v>362.391525</v>
      </c>
      <c r="E21" s="3">
        <f>'[1]DIA 19'!G$51</f>
        <v>995.83499999999992</v>
      </c>
      <c r="F21" s="3">
        <f t="shared" si="0"/>
        <v>1358.226525</v>
      </c>
      <c r="G21" s="11">
        <f t="shared" si="1"/>
        <v>27.164530500000001</v>
      </c>
      <c r="H21" s="12">
        <f t="shared" si="2"/>
        <v>1331.0619945000001</v>
      </c>
      <c r="I21" s="11">
        <v>4.16</v>
      </c>
      <c r="J21" s="12">
        <f t="shared" si="3"/>
        <v>319.96682560096156</v>
      </c>
      <c r="M21" s="13"/>
      <c r="N21" s="14"/>
      <c r="O21" s="16"/>
      <c r="P21" s="16"/>
      <c r="Q21" s="16"/>
      <c r="R21" s="16"/>
      <c r="S21" s="16"/>
      <c r="T21" s="20"/>
      <c r="U21" s="17"/>
      <c r="V21" s="20"/>
      <c r="W21" s="20"/>
      <c r="X21" s="17"/>
      <c r="Y21" s="20"/>
      <c r="Z21" s="20"/>
      <c r="AA21" s="20"/>
      <c r="AB21" s="20"/>
      <c r="AC21" s="20"/>
      <c r="AD21" s="20"/>
    </row>
    <row r="22" spans="1:30" x14ac:dyDescent="0.25">
      <c r="A22" s="2">
        <f>'[1]DIA 20'!B$6</f>
        <v>44489</v>
      </c>
      <c r="B22" s="3">
        <f>'[1]DIA 20'!B$50</f>
        <v>163.32999999999998</v>
      </c>
      <c r="C22" s="3">
        <f>'[1]DIA 20'!B$51</f>
        <v>1031.6300000000001</v>
      </c>
      <c r="D22" s="3">
        <f>'[1]DIA 20'!G$50</f>
        <v>162.10502499999998</v>
      </c>
      <c r="E22" s="3">
        <f>'[1]DIA 20'!G$51</f>
        <v>1016.1555500000001</v>
      </c>
      <c r="F22" s="3">
        <f t="shared" si="0"/>
        <v>1178.260575</v>
      </c>
      <c r="G22" s="11">
        <f t="shared" si="1"/>
        <v>23.5652115</v>
      </c>
      <c r="H22" s="12">
        <f t="shared" si="2"/>
        <v>1154.6953635</v>
      </c>
      <c r="I22" s="11">
        <v>4.1500000000000004</v>
      </c>
      <c r="J22" s="12">
        <f t="shared" si="3"/>
        <v>278.23984662650599</v>
      </c>
      <c r="M22" s="13"/>
      <c r="N22" s="14"/>
      <c r="O22" s="16"/>
      <c r="P22" s="16"/>
      <c r="Q22" s="16"/>
      <c r="R22" s="16"/>
      <c r="S22" s="16"/>
      <c r="T22" s="20"/>
      <c r="U22" s="17"/>
      <c r="V22" s="20"/>
      <c r="W22" s="20"/>
      <c r="X22" s="17"/>
      <c r="Y22" s="17"/>
      <c r="Z22" s="20"/>
      <c r="AA22" s="20"/>
      <c r="AB22" s="20"/>
      <c r="AC22" s="20"/>
      <c r="AD22" s="20"/>
    </row>
    <row r="23" spans="1:30" x14ac:dyDescent="0.25">
      <c r="A23" s="2">
        <f>'[1]DIA 21'!B$6</f>
        <v>44490</v>
      </c>
      <c r="B23" s="3">
        <f>'[1]DIA 21'!B$50</f>
        <v>343.80999999999995</v>
      </c>
      <c r="C23" s="3">
        <f>'[1]DIA 21'!B$51</f>
        <v>1144.3799999999999</v>
      </c>
      <c r="D23" s="3">
        <f>'[1]DIA 21'!G$50</f>
        <v>341.23142499999994</v>
      </c>
      <c r="E23" s="3">
        <f>'[1]DIA 21'!G$51</f>
        <v>1127.2142999999999</v>
      </c>
      <c r="F23" s="3">
        <f t="shared" si="0"/>
        <v>1468.4457249999998</v>
      </c>
      <c r="G23" s="11">
        <f t="shared" si="1"/>
        <v>29.368914499999995</v>
      </c>
      <c r="H23" s="12">
        <f t="shared" si="2"/>
        <v>1439.0768104999997</v>
      </c>
      <c r="I23" s="11">
        <v>4.17</v>
      </c>
      <c r="J23" s="12">
        <f t="shared" si="3"/>
        <v>345.10235263788962</v>
      </c>
      <c r="M23" s="13"/>
      <c r="N23" s="39"/>
      <c r="O23" s="16"/>
      <c r="P23" s="16"/>
      <c r="Q23" s="16"/>
      <c r="R23" s="16"/>
      <c r="S23" s="16"/>
      <c r="T23" s="20"/>
      <c r="U23" s="19"/>
      <c r="V23" s="20"/>
      <c r="W23" s="20"/>
      <c r="X23" s="19"/>
      <c r="Y23" s="20"/>
      <c r="Z23" s="20"/>
      <c r="AA23" s="20"/>
      <c r="AB23" s="20"/>
      <c r="AC23" s="20"/>
      <c r="AD23" s="20"/>
    </row>
    <row r="24" spans="1:30" x14ac:dyDescent="0.25">
      <c r="A24" s="2">
        <f>'[1]DIA 22'!B$6</f>
        <v>44491</v>
      </c>
      <c r="B24" s="3">
        <f>'[1]DIA 22'!B$50</f>
        <v>370.78000000000003</v>
      </c>
      <c r="C24" s="3">
        <f>'[1]DIA 22'!B$51</f>
        <v>1356.81</v>
      </c>
      <c r="D24" s="3">
        <f>'[1]DIA 22'!G$50</f>
        <v>367.99915000000004</v>
      </c>
      <c r="E24" s="3">
        <f>'[1]DIA 22'!G$51</f>
        <v>1336.45785</v>
      </c>
      <c r="F24" s="3">
        <f t="shared" si="0"/>
        <v>1704.4570000000001</v>
      </c>
      <c r="G24" s="11">
        <f t="shared" si="1"/>
        <v>34.08914</v>
      </c>
      <c r="H24" s="12">
        <f t="shared" si="2"/>
        <v>1670.3678600000001</v>
      </c>
      <c r="I24" s="11">
        <v>4.21</v>
      </c>
      <c r="J24" s="12">
        <f t="shared" si="3"/>
        <v>396.76196199524941</v>
      </c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pans="1:30" x14ac:dyDescent="0.25">
      <c r="A25" s="2">
        <f>'[1]DIA 23'!B$6</f>
        <v>44492</v>
      </c>
      <c r="B25" s="3">
        <f>'[1]DIA 23'!B$50</f>
        <v>672.43000000000006</v>
      </c>
      <c r="C25" s="3">
        <f>'[1]DIA 23'!B$51</f>
        <v>1563.21</v>
      </c>
      <c r="D25" s="3">
        <f>'[1]DIA 23'!G$50</f>
        <v>667.38677500000006</v>
      </c>
      <c r="E25" s="3">
        <f>'[1]DIA 23'!G$51</f>
        <v>1539.7618500000001</v>
      </c>
      <c r="F25" s="3">
        <f t="shared" si="0"/>
        <v>2207.1486250000003</v>
      </c>
      <c r="G25" s="11">
        <f t="shared" si="1"/>
        <v>44.142972500000006</v>
      </c>
      <c r="H25" s="12">
        <f t="shared" si="2"/>
        <v>2163.0056525000005</v>
      </c>
      <c r="I25" s="11">
        <v>4.24</v>
      </c>
      <c r="J25" s="12">
        <f t="shared" si="3"/>
        <v>510.14284257075479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x14ac:dyDescent="0.25">
      <c r="A26" s="2">
        <f>'[1]DIA 24'!B$6</f>
        <v>44493</v>
      </c>
      <c r="B26" s="3">
        <f>'[1]DIA 24'!B$50</f>
        <v>298.14000000000004</v>
      </c>
      <c r="C26" s="3">
        <f>'[1]DIA 24'!B$51</f>
        <v>1070.8700000000001</v>
      </c>
      <c r="D26" s="3">
        <f>'[1]DIA 24'!G$50</f>
        <v>295.90395000000007</v>
      </c>
      <c r="E26" s="3">
        <f>'[1]DIA 24'!G$51</f>
        <v>1054.8069500000001</v>
      </c>
      <c r="F26" s="3">
        <f t="shared" si="0"/>
        <v>1350.7109000000003</v>
      </c>
      <c r="G26" s="11">
        <f t="shared" si="1"/>
        <v>27.014218000000007</v>
      </c>
      <c r="H26" s="12">
        <f t="shared" si="2"/>
        <v>1323.6966820000002</v>
      </c>
      <c r="I26" s="11">
        <v>4.24</v>
      </c>
      <c r="J26" s="12">
        <f t="shared" si="3"/>
        <v>312.19261367924531</v>
      </c>
    </row>
    <row r="27" spans="1:30" x14ac:dyDescent="0.25">
      <c r="A27" s="2">
        <f>'[1]DIA 25'!B$6</f>
        <v>44494</v>
      </c>
      <c r="B27" s="3">
        <f>'[1]DIA 25'!B$50</f>
        <v>329.9</v>
      </c>
      <c r="C27" s="3">
        <f>'[1]DIA 25'!B$51</f>
        <v>1735.0299999999997</v>
      </c>
      <c r="D27" s="3">
        <f>'[1]DIA 25'!G$50</f>
        <v>327.42574999999999</v>
      </c>
      <c r="E27" s="3">
        <f>'[1]DIA 25'!G$51</f>
        <v>1709.0045499999997</v>
      </c>
      <c r="F27" s="3">
        <f t="shared" si="0"/>
        <v>2036.4302999999995</v>
      </c>
      <c r="G27" s="11">
        <f t="shared" si="1"/>
        <v>40.728605999999992</v>
      </c>
      <c r="H27" s="12">
        <f t="shared" si="2"/>
        <v>1995.7016939999996</v>
      </c>
      <c r="I27" s="11">
        <v>4.24</v>
      </c>
      <c r="J27" s="12">
        <f t="shared" si="3"/>
        <v>470.68436179245271</v>
      </c>
    </row>
    <row r="28" spans="1:30" x14ac:dyDescent="0.25">
      <c r="A28" s="2">
        <f>'[1]DIA 26'!B$6</f>
        <v>44495</v>
      </c>
      <c r="B28" s="3">
        <f>'[1]DIA 26'!B$50</f>
        <v>305.27000000000004</v>
      </c>
      <c r="C28" s="3">
        <f>'[1]DIA 26'!B$51</f>
        <v>1615.05</v>
      </c>
      <c r="D28" s="3">
        <f>'[1]DIA 26'!G$50</f>
        <v>302.98047500000001</v>
      </c>
      <c r="E28" s="3">
        <f>'[1]DIA 26'!G$51</f>
        <v>1590.8242499999999</v>
      </c>
      <c r="F28" s="3">
        <f t="shared" si="0"/>
        <v>1893.804725</v>
      </c>
      <c r="G28" s="11">
        <f t="shared" si="1"/>
        <v>37.876094500000001</v>
      </c>
      <c r="H28" s="12">
        <f t="shared" si="2"/>
        <v>1855.9286305000001</v>
      </c>
      <c r="I28" s="11">
        <v>4.2699999999999996</v>
      </c>
      <c r="J28" s="12">
        <f t="shared" si="3"/>
        <v>434.64370737704922</v>
      </c>
    </row>
    <row r="29" spans="1:30" x14ac:dyDescent="0.25">
      <c r="A29" s="2">
        <f>'[1]DIA 27'!B$6</f>
        <v>44496</v>
      </c>
      <c r="B29" s="3">
        <f>'[1]DIA 27'!B$50</f>
        <v>203.79000000000002</v>
      </c>
      <c r="C29" s="3">
        <f>'[1]DIA 27'!B$51</f>
        <v>1450.06</v>
      </c>
      <c r="D29" s="3">
        <f>'[1]DIA 27'!G$50</f>
        <v>202.26157500000002</v>
      </c>
      <c r="E29" s="3">
        <f>'[1]DIA 27'!G$51</f>
        <v>1428.3090999999999</v>
      </c>
      <c r="F29" s="3">
        <f t="shared" si="0"/>
        <v>1630.5706749999999</v>
      </c>
      <c r="G29" s="11">
        <f t="shared" si="1"/>
        <v>32.611413499999998</v>
      </c>
      <c r="H29" s="12">
        <f t="shared" si="2"/>
        <v>1597.9592614999999</v>
      </c>
      <c r="I29" s="11">
        <v>4.29</v>
      </c>
      <c r="J29" s="12">
        <f t="shared" si="3"/>
        <v>372.4846763403263</v>
      </c>
    </row>
    <row r="30" spans="1:30" x14ac:dyDescent="0.25">
      <c r="A30" s="2">
        <f>'[1]DIA 28'!B$6</f>
        <v>44132</v>
      </c>
      <c r="B30" s="3">
        <f>'[1]DIA 28'!B$50</f>
        <v>222.61</v>
      </c>
      <c r="C30" s="3">
        <f>'[1]DIA 28'!B$51</f>
        <v>1810.2800000000002</v>
      </c>
      <c r="D30" s="3">
        <f>'[1]DIA 28'!G$50</f>
        <v>220.940425</v>
      </c>
      <c r="E30" s="3">
        <f>'[1]DIA 28'!G$51</f>
        <v>1783.1258000000003</v>
      </c>
      <c r="F30" s="3">
        <f t="shared" si="0"/>
        <v>2004.0662250000003</v>
      </c>
      <c r="G30" s="11">
        <f t="shared" si="1"/>
        <v>40.081324500000008</v>
      </c>
      <c r="H30" s="12">
        <f t="shared" si="2"/>
        <v>1963.9849005000003</v>
      </c>
      <c r="I30" s="11">
        <v>4.32</v>
      </c>
      <c r="J30" s="12">
        <f t="shared" si="3"/>
        <v>454.62613437500005</v>
      </c>
    </row>
    <row r="31" spans="1:30" x14ac:dyDescent="0.25">
      <c r="A31" s="2">
        <f>'[1]DIA 29'!B$6</f>
        <v>44498</v>
      </c>
      <c r="B31" s="3">
        <f>'[1]DIA 29'!B$50</f>
        <v>229.86</v>
      </c>
      <c r="C31" s="3">
        <f>'[1]DIA 29'!B$51</f>
        <v>1628.6299999999999</v>
      </c>
      <c r="D31" s="3">
        <f>'[1]DIA 29'!G$50</f>
        <v>228.13605000000001</v>
      </c>
      <c r="E31" s="3">
        <f>'[1]DIA 29'!G$51</f>
        <v>1604.2005499999998</v>
      </c>
      <c r="F31" s="3">
        <f t="shared" si="0"/>
        <v>1832.3365999999999</v>
      </c>
      <c r="G31" s="11">
        <f t="shared" si="1"/>
        <v>36.646732</v>
      </c>
      <c r="H31" s="12">
        <f t="shared" si="2"/>
        <v>1795.6898679999999</v>
      </c>
      <c r="I31" s="11">
        <v>4.38</v>
      </c>
      <c r="J31" s="12">
        <f t="shared" si="3"/>
        <v>409.97485570776257</v>
      </c>
    </row>
    <row r="32" spans="1:30" x14ac:dyDescent="0.25">
      <c r="A32" s="2">
        <f>'[1]DIA 30'!B$6</f>
        <v>44499</v>
      </c>
      <c r="B32" s="3">
        <f>'[1]DIA 30'!B$50</f>
        <v>186.62</v>
      </c>
      <c r="C32" s="3">
        <f>'[1]DIA 30'!B$51</f>
        <v>3757.42</v>
      </c>
      <c r="D32" s="3">
        <f>'[1]DIA 30'!G$50</f>
        <v>185.22035</v>
      </c>
      <c r="E32" s="3">
        <f>'[1]DIA 30'!G$51</f>
        <v>3701.0587</v>
      </c>
      <c r="F32" s="3">
        <f t="shared" si="0"/>
        <v>3886.2790500000001</v>
      </c>
      <c r="G32" s="11">
        <f t="shared" si="1"/>
        <v>77.725581000000005</v>
      </c>
      <c r="H32" s="12">
        <f t="shared" si="2"/>
        <v>3808.553469</v>
      </c>
      <c r="I32" s="11">
        <v>4.38</v>
      </c>
      <c r="J32" s="12">
        <f t="shared" si="3"/>
        <v>869.53275547945202</v>
      </c>
    </row>
    <row r="33" spans="1:13" x14ac:dyDescent="0.25">
      <c r="A33" s="2">
        <v>44500</v>
      </c>
      <c r="B33" s="3">
        <v>65.739999999999995</v>
      </c>
      <c r="C33" s="3">
        <v>1597.93</v>
      </c>
      <c r="D33" s="3">
        <v>65.25</v>
      </c>
      <c r="E33" s="3">
        <v>1573.96</v>
      </c>
      <c r="F33" s="3">
        <f>D33+E33</f>
        <v>1639.21</v>
      </c>
      <c r="G33" s="11">
        <f t="shared" si="1"/>
        <v>32.784199999999998</v>
      </c>
      <c r="H33" s="12">
        <f t="shared" si="2"/>
        <v>1606.4258</v>
      </c>
      <c r="I33" s="11">
        <v>4.38</v>
      </c>
      <c r="J33" s="12">
        <f t="shared" si="3"/>
        <v>366.7638812785388</v>
      </c>
      <c r="M33" t="s">
        <v>24</v>
      </c>
    </row>
    <row r="34" spans="1:13" x14ac:dyDescent="0.25">
      <c r="A34" s="4" t="s">
        <v>3</v>
      </c>
      <c r="B34" s="5"/>
      <c r="C34" s="5"/>
      <c r="D34" s="5"/>
      <c r="E34" s="5"/>
      <c r="F34" s="5"/>
      <c r="G34" s="30" t="s">
        <v>6</v>
      </c>
      <c r="H34" s="31">
        <f>SUM(H3:H33)</f>
        <v>52003.587716500006</v>
      </c>
      <c r="I34" s="32"/>
      <c r="J34" s="31">
        <f>SUM(J3:J33)</f>
        <v>12171.459900060314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2"/>
  <sheetViews>
    <sheetView tabSelected="1" topLeftCell="C39" workbookViewId="0">
      <selection activeCell="E67" sqref="E67"/>
    </sheetView>
  </sheetViews>
  <sheetFormatPr baseColWidth="10" defaultRowHeight="15" x14ac:dyDescent="0.25"/>
  <cols>
    <col min="2" max="2" width="21.140625" customWidth="1"/>
    <col min="3" max="3" width="19.5703125" customWidth="1"/>
    <col min="4" max="4" width="18" customWidth="1"/>
    <col min="5" max="5" width="17" customWidth="1"/>
    <col min="6" max="6" width="15" customWidth="1"/>
    <col min="7" max="7" width="16.7109375" customWidth="1"/>
    <col min="11" max="12" width="14.5703125" customWidth="1"/>
    <col min="13" max="13" width="12.7109375" customWidth="1"/>
    <col min="14" max="14" width="14.42578125" customWidth="1"/>
    <col min="15" max="15" width="14" customWidth="1"/>
    <col min="16" max="16" width="16.28515625" customWidth="1"/>
    <col min="20" max="20" width="12.5703125" bestFit="1" customWidth="1"/>
    <col min="24" max="24" width="14" customWidth="1"/>
  </cols>
  <sheetData>
    <row r="1" spans="1:27" x14ac:dyDescent="0.25">
      <c r="A1" s="13" t="s">
        <v>59</v>
      </c>
      <c r="B1" s="14"/>
      <c r="C1" s="15"/>
      <c r="D1" s="15"/>
      <c r="E1" s="16"/>
      <c r="K1" s="13" t="s">
        <v>59</v>
      </c>
      <c r="L1" s="14"/>
      <c r="M1" s="15"/>
      <c r="N1" s="15"/>
      <c r="O1" s="16"/>
    </row>
    <row r="2" spans="1:27" ht="45" x14ac:dyDescent="0.25">
      <c r="A2" s="49" t="s">
        <v>0</v>
      </c>
      <c r="B2" s="49" t="s">
        <v>28</v>
      </c>
      <c r="C2" s="49" t="s">
        <v>29</v>
      </c>
      <c r="D2" s="49" t="s">
        <v>28</v>
      </c>
      <c r="E2" s="49" t="s">
        <v>29</v>
      </c>
      <c r="F2" s="49" t="s">
        <v>7</v>
      </c>
      <c r="G2" s="52" t="s">
        <v>9</v>
      </c>
      <c r="H2" s="52" t="s">
        <v>6</v>
      </c>
      <c r="J2" s="49" t="s">
        <v>0</v>
      </c>
      <c r="K2" s="49" t="s">
        <v>28</v>
      </c>
      <c r="L2" s="49" t="s">
        <v>29</v>
      </c>
      <c r="M2" s="49" t="s">
        <v>28</v>
      </c>
      <c r="N2" s="49" t="s">
        <v>29</v>
      </c>
      <c r="O2" s="49" t="s">
        <v>7</v>
      </c>
      <c r="P2" s="52" t="s">
        <v>9</v>
      </c>
      <c r="Q2" s="52" t="s">
        <v>6</v>
      </c>
      <c r="R2" s="53" t="s">
        <v>27</v>
      </c>
      <c r="U2" s="51"/>
      <c r="V2" s="51"/>
      <c r="W2" s="51"/>
      <c r="X2" s="51"/>
      <c r="Y2" s="51"/>
      <c r="Z2" s="51"/>
      <c r="AA2" s="51"/>
    </row>
    <row r="3" spans="1:27" x14ac:dyDescent="0.25">
      <c r="A3" s="54">
        <v>44743</v>
      </c>
      <c r="B3" s="55"/>
      <c r="C3" s="55"/>
      <c r="D3" s="55"/>
      <c r="E3" s="55"/>
      <c r="F3" s="55">
        <f>B3+C3</f>
        <v>0</v>
      </c>
      <c r="G3" s="56">
        <v>5.56</v>
      </c>
      <c r="H3" s="56">
        <f>F3/G3</f>
        <v>0</v>
      </c>
      <c r="J3" s="54">
        <v>44743</v>
      </c>
      <c r="K3" s="55"/>
      <c r="L3" s="55"/>
      <c r="M3" s="55"/>
      <c r="N3" s="55"/>
      <c r="O3" s="55">
        <f>K3+L3</f>
        <v>0</v>
      </c>
      <c r="P3" s="56">
        <v>5.56</v>
      </c>
      <c r="Q3" s="56">
        <f>O3/P3</f>
        <v>0</v>
      </c>
      <c r="R3" s="56">
        <f>Q3*2%</f>
        <v>0</v>
      </c>
      <c r="T3" s="46">
        <f>B3-D3</f>
        <v>0</v>
      </c>
      <c r="U3" s="57">
        <f>C3-E3</f>
        <v>0</v>
      </c>
      <c r="V3" s="38">
        <f>T3+U3</f>
        <v>0</v>
      </c>
      <c r="W3" s="32">
        <v>5.56</v>
      </c>
      <c r="X3" s="32">
        <f>V3/W3</f>
        <v>0</v>
      </c>
      <c r="Y3" s="51"/>
      <c r="Z3" s="51"/>
      <c r="AA3" s="51"/>
    </row>
    <row r="4" spans="1:27" x14ac:dyDescent="0.25">
      <c r="A4" s="54">
        <v>44744</v>
      </c>
      <c r="B4" s="55"/>
      <c r="C4" s="55"/>
      <c r="D4" s="55"/>
      <c r="E4" s="55"/>
      <c r="F4" s="55">
        <f t="shared" ref="F4:F33" si="0">B4+C4</f>
        <v>0</v>
      </c>
      <c r="G4" s="56">
        <v>5.56</v>
      </c>
      <c r="H4" s="56">
        <f t="shared" ref="H4:H18" si="1">F4/G4</f>
        <v>0</v>
      </c>
      <c r="J4" s="54">
        <v>44744</v>
      </c>
      <c r="K4" s="55"/>
      <c r="L4" s="55"/>
      <c r="M4" s="55"/>
      <c r="N4" s="55"/>
      <c r="O4" s="55">
        <f t="shared" ref="O4:O33" si="2">K4+L4</f>
        <v>0</v>
      </c>
      <c r="P4" s="56">
        <v>5.56</v>
      </c>
      <c r="Q4" s="56">
        <f t="shared" ref="Q4:Q33" si="3">O4/P4</f>
        <v>0</v>
      </c>
      <c r="R4" s="56">
        <f t="shared" ref="R4:R33" si="4">Q4*2%</f>
        <v>0</v>
      </c>
      <c r="T4" s="46">
        <f t="shared" ref="T4:T33" si="5">B4-D4</f>
        <v>0</v>
      </c>
      <c r="U4" s="57">
        <f t="shared" ref="U4:U33" si="6">C4-E4</f>
        <v>0</v>
      </c>
      <c r="V4" s="38">
        <f t="shared" ref="V4:V33" si="7">T4+U4</f>
        <v>0</v>
      </c>
      <c r="W4" s="32">
        <v>5.56</v>
      </c>
      <c r="X4" s="32">
        <f t="shared" ref="X4:X33" si="8">V4/W4</f>
        <v>0</v>
      </c>
      <c r="Y4" s="51"/>
      <c r="Z4" s="51"/>
      <c r="AA4" s="51"/>
    </row>
    <row r="5" spans="1:27" x14ac:dyDescent="0.25">
      <c r="A5" s="54">
        <v>44745</v>
      </c>
      <c r="B5" s="55"/>
      <c r="C5" s="55"/>
      <c r="D5" s="55"/>
      <c r="E5" s="55"/>
      <c r="F5" s="55">
        <f>B5+C5</f>
        <v>0</v>
      </c>
      <c r="G5" s="56">
        <v>5.56</v>
      </c>
      <c r="H5" s="56">
        <f>F5/G5</f>
        <v>0</v>
      </c>
      <c r="J5" s="54">
        <v>44745</v>
      </c>
      <c r="K5" s="55"/>
      <c r="L5" s="55"/>
      <c r="M5" s="55"/>
      <c r="N5" s="55"/>
      <c r="O5" s="55">
        <f t="shared" si="2"/>
        <v>0</v>
      </c>
      <c r="P5" s="56">
        <v>5.56</v>
      </c>
      <c r="Q5" s="56">
        <f t="shared" si="3"/>
        <v>0</v>
      </c>
      <c r="R5" s="56">
        <f t="shared" si="4"/>
        <v>0</v>
      </c>
      <c r="T5" s="46">
        <f t="shared" si="5"/>
        <v>0</v>
      </c>
      <c r="U5" s="57">
        <f t="shared" si="6"/>
        <v>0</v>
      </c>
      <c r="V5" s="38">
        <f t="shared" si="7"/>
        <v>0</v>
      </c>
      <c r="W5" s="32">
        <v>5.56</v>
      </c>
      <c r="X5" s="32">
        <f t="shared" si="8"/>
        <v>0</v>
      </c>
      <c r="Y5" s="51"/>
      <c r="Z5" s="51"/>
      <c r="AA5" s="51"/>
    </row>
    <row r="6" spans="1:27" x14ac:dyDescent="0.25">
      <c r="A6" s="54">
        <v>44746</v>
      </c>
      <c r="B6" s="55"/>
      <c r="C6" s="55"/>
      <c r="D6" s="55"/>
      <c r="E6" s="55"/>
      <c r="F6" s="55">
        <f t="shared" si="0"/>
        <v>0</v>
      </c>
      <c r="G6" s="56">
        <v>5.56</v>
      </c>
      <c r="H6" s="56">
        <f t="shared" si="1"/>
        <v>0</v>
      </c>
      <c r="J6" s="54">
        <v>44746</v>
      </c>
      <c r="K6" s="55"/>
      <c r="L6" s="55"/>
      <c r="M6" s="55"/>
      <c r="N6" s="55"/>
      <c r="O6" s="55">
        <f t="shared" si="2"/>
        <v>0</v>
      </c>
      <c r="P6" s="56">
        <v>5.56</v>
      </c>
      <c r="Q6" s="56">
        <f t="shared" si="3"/>
        <v>0</v>
      </c>
      <c r="R6" s="56">
        <f t="shared" si="4"/>
        <v>0</v>
      </c>
      <c r="T6" s="46">
        <f t="shared" si="5"/>
        <v>0</v>
      </c>
      <c r="U6" s="57">
        <f t="shared" si="6"/>
        <v>0</v>
      </c>
      <c r="V6" s="38">
        <f t="shared" si="7"/>
        <v>0</v>
      </c>
      <c r="W6" s="32">
        <v>5.56</v>
      </c>
      <c r="X6" s="32">
        <f t="shared" si="8"/>
        <v>0</v>
      </c>
      <c r="Y6" s="51"/>
      <c r="Z6" s="51"/>
      <c r="AA6" s="51"/>
    </row>
    <row r="7" spans="1:27" x14ac:dyDescent="0.25">
      <c r="A7" s="54">
        <v>44747</v>
      </c>
      <c r="B7" s="55"/>
      <c r="C7" s="55"/>
      <c r="D7" s="55"/>
      <c r="E7" s="55"/>
      <c r="F7" s="55">
        <f t="shared" si="0"/>
        <v>0</v>
      </c>
      <c r="G7" s="56">
        <v>5.56</v>
      </c>
      <c r="H7" s="56">
        <f t="shared" si="1"/>
        <v>0</v>
      </c>
      <c r="J7" s="54">
        <v>44747</v>
      </c>
      <c r="K7" s="55"/>
      <c r="L7" s="55"/>
      <c r="M7" s="55"/>
      <c r="N7" s="55"/>
      <c r="O7" s="55">
        <f t="shared" si="2"/>
        <v>0</v>
      </c>
      <c r="P7" s="56">
        <v>5.56</v>
      </c>
      <c r="Q7" s="56">
        <f t="shared" si="3"/>
        <v>0</v>
      </c>
      <c r="R7" s="56">
        <f t="shared" si="4"/>
        <v>0</v>
      </c>
      <c r="T7" s="46">
        <f t="shared" si="5"/>
        <v>0</v>
      </c>
      <c r="U7" s="57">
        <f t="shared" si="6"/>
        <v>0</v>
      </c>
      <c r="V7" s="38">
        <f t="shared" si="7"/>
        <v>0</v>
      </c>
      <c r="W7" s="32">
        <v>5.56</v>
      </c>
      <c r="X7" s="32">
        <f t="shared" si="8"/>
        <v>0</v>
      </c>
      <c r="Y7" s="51"/>
      <c r="Z7" s="51"/>
      <c r="AA7" s="51"/>
    </row>
    <row r="8" spans="1:27" x14ac:dyDescent="0.25">
      <c r="A8" s="54">
        <v>44748</v>
      </c>
      <c r="B8" s="55"/>
      <c r="C8" s="55"/>
      <c r="D8" s="55"/>
      <c r="E8" s="55"/>
      <c r="F8" s="55">
        <f t="shared" si="0"/>
        <v>0</v>
      </c>
      <c r="G8" s="56">
        <v>5.56</v>
      </c>
      <c r="H8" s="56">
        <f t="shared" si="1"/>
        <v>0</v>
      </c>
      <c r="J8" s="54">
        <v>44748</v>
      </c>
      <c r="K8" s="55"/>
      <c r="L8" s="55"/>
      <c r="M8" s="55"/>
      <c r="N8" s="55"/>
      <c r="O8" s="55">
        <f t="shared" si="2"/>
        <v>0</v>
      </c>
      <c r="P8" s="56">
        <v>5.56</v>
      </c>
      <c r="Q8" s="56">
        <f t="shared" si="3"/>
        <v>0</v>
      </c>
      <c r="R8" s="56">
        <f t="shared" si="4"/>
        <v>0</v>
      </c>
      <c r="T8" s="46">
        <f t="shared" si="5"/>
        <v>0</v>
      </c>
      <c r="U8" s="57">
        <f t="shared" si="6"/>
        <v>0</v>
      </c>
      <c r="V8" s="38">
        <f t="shared" si="7"/>
        <v>0</v>
      </c>
      <c r="W8" s="32">
        <v>5.56</v>
      </c>
      <c r="X8" s="32">
        <f t="shared" si="8"/>
        <v>0</v>
      </c>
      <c r="Y8" s="51"/>
      <c r="Z8" s="51"/>
      <c r="AA8" s="51"/>
    </row>
    <row r="9" spans="1:27" x14ac:dyDescent="0.25">
      <c r="A9" s="54">
        <v>44749</v>
      </c>
      <c r="B9" s="55"/>
      <c r="C9" s="55"/>
      <c r="D9" s="55"/>
      <c r="E9" s="55"/>
      <c r="F9" s="55">
        <f t="shared" si="0"/>
        <v>0</v>
      </c>
      <c r="G9" s="56">
        <v>5.57</v>
      </c>
      <c r="H9" s="56">
        <f t="shared" si="1"/>
        <v>0</v>
      </c>
      <c r="J9" s="54">
        <v>44749</v>
      </c>
      <c r="K9" s="55"/>
      <c r="L9" s="55"/>
      <c r="M9" s="55"/>
      <c r="N9" s="55"/>
      <c r="O9" s="55">
        <f t="shared" si="2"/>
        <v>0</v>
      </c>
      <c r="P9" s="56">
        <v>5.57</v>
      </c>
      <c r="Q9" s="56">
        <f t="shared" si="3"/>
        <v>0</v>
      </c>
      <c r="R9" s="56">
        <f t="shared" si="4"/>
        <v>0</v>
      </c>
      <c r="T9" s="46">
        <f t="shared" si="5"/>
        <v>0</v>
      </c>
      <c r="U9" s="57">
        <f t="shared" si="6"/>
        <v>0</v>
      </c>
      <c r="V9" s="38">
        <f t="shared" si="7"/>
        <v>0</v>
      </c>
      <c r="W9" s="32">
        <v>5.57</v>
      </c>
      <c r="X9" s="32">
        <f t="shared" si="8"/>
        <v>0</v>
      </c>
      <c r="Y9" s="51"/>
      <c r="Z9" s="51"/>
      <c r="AA9" s="51"/>
    </row>
    <row r="10" spans="1:27" x14ac:dyDescent="0.25">
      <c r="A10" s="54">
        <v>44750</v>
      </c>
      <c r="B10" s="55">
        <v>3177.14</v>
      </c>
      <c r="C10" s="55"/>
      <c r="D10" s="55">
        <v>3153.31</v>
      </c>
      <c r="E10" s="55"/>
      <c r="F10" s="55">
        <f t="shared" si="0"/>
        <v>3177.14</v>
      </c>
      <c r="G10" s="56">
        <v>5.61</v>
      </c>
      <c r="H10" s="56">
        <f t="shared" si="1"/>
        <v>566.33511586452755</v>
      </c>
      <c r="J10" s="54">
        <v>44750</v>
      </c>
      <c r="K10" s="55">
        <v>3153.31</v>
      </c>
      <c r="L10" s="55"/>
      <c r="M10" s="55"/>
      <c r="N10" s="55"/>
      <c r="O10" s="55">
        <f t="shared" si="2"/>
        <v>3153.31</v>
      </c>
      <c r="P10" s="56">
        <v>5.61</v>
      </c>
      <c r="Q10" s="56">
        <f t="shared" si="3"/>
        <v>562.08734402852042</v>
      </c>
      <c r="R10" s="56">
        <f t="shared" si="4"/>
        <v>11.241746880570409</v>
      </c>
      <c r="T10" s="46">
        <f t="shared" si="5"/>
        <v>23.829999999999927</v>
      </c>
      <c r="U10" s="57">
        <f t="shared" si="6"/>
        <v>0</v>
      </c>
      <c r="V10" s="38">
        <f t="shared" si="7"/>
        <v>23.829999999999927</v>
      </c>
      <c r="W10" s="32">
        <v>5.61</v>
      </c>
      <c r="X10" s="32">
        <f t="shared" si="8"/>
        <v>4.2477718360071171</v>
      </c>
      <c r="Y10" s="51"/>
      <c r="Z10" s="51"/>
      <c r="AA10" s="51"/>
    </row>
    <row r="11" spans="1:27" x14ac:dyDescent="0.25">
      <c r="A11" s="54">
        <v>44751</v>
      </c>
      <c r="B11" s="55">
        <v>2196.41</v>
      </c>
      <c r="C11" s="55">
        <v>63.17</v>
      </c>
      <c r="D11" s="55">
        <v>2179.94</v>
      </c>
      <c r="E11" s="55">
        <v>58.87</v>
      </c>
      <c r="F11" s="55">
        <f t="shared" si="0"/>
        <v>2259.58</v>
      </c>
      <c r="G11" s="56">
        <v>5.61</v>
      </c>
      <c r="H11" s="56">
        <f t="shared" si="1"/>
        <v>402.77718360071299</v>
      </c>
      <c r="J11" s="54">
        <v>44751</v>
      </c>
      <c r="K11" s="55">
        <v>2179.94</v>
      </c>
      <c r="L11" s="55">
        <v>58.87</v>
      </c>
      <c r="M11" s="55"/>
      <c r="N11" s="55"/>
      <c r="O11" s="55">
        <f t="shared" si="2"/>
        <v>2238.81</v>
      </c>
      <c r="P11" s="56">
        <v>5.61</v>
      </c>
      <c r="Q11" s="56">
        <f t="shared" si="3"/>
        <v>399.07486631016042</v>
      </c>
      <c r="R11" s="56">
        <f t="shared" si="4"/>
        <v>7.9814973262032085</v>
      </c>
      <c r="T11" s="46">
        <f t="shared" si="5"/>
        <v>16.4699999999998</v>
      </c>
      <c r="U11" s="57">
        <f t="shared" si="6"/>
        <v>4.3000000000000043</v>
      </c>
      <c r="V11" s="38">
        <f t="shared" si="7"/>
        <v>20.769999999999804</v>
      </c>
      <c r="W11" s="32">
        <v>5.61</v>
      </c>
      <c r="X11" s="32">
        <f t="shared" si="8"/>
        <v>3.7023172905525494</v>
      </c>
      <c r="Y11" s="51"/>
      <c r="Z11" s="51"/>
      <c r="AA11" s="51"/>
    </row>
    <row r="12" spans="1:27" x14ac:dyDescent="0.25">
      <c r="A12" s="54">
        <v>44752</v>
      </c>
      <c r="B12" s="55">
        <v>1836.58</v>
      </c>
      <c r="C12" s="55">
        <v>46</v>
      </c>
      <c r="D12" s="55">
        <v>1822.81</v>
      </c>
      <c r="E12" s="55">
        <v>42.87</v>
      </c>
      <c r="F12" s="55">
        <f t="shared" si="0"/>
        <v>1882.58</v>
      </c>
      <c r="G12" s="56">
        <v>5.61</v>
      </c>
      <c r="H12" s="56">
        <f t="shared" si="1"/>
        <v>335.57575757575756</v>
      </c>
      <c r="J12" s="54">
        <v>44752</v>
      </c>
      <c r="K12" s="55">
        <v>1822.81</v>
      </c>
      <c r="L12" s="55">
        <v>42.87</v>
      </c>
      <c r="M12" s="55"/>
      <c r="N12" s="55"/>
      <c r="O12" s="55">
        <f t="shared" si="2"/>
        <v>1865.6799999999998</v>
      </c>
      <c r="P12" s="56">
        <v>5.61</v>
      </c>
      <c r="Q12" s="56">
        <f t="shared" si="3"/>
        <v>332.56327985739745</v>
      </c>
      <c r="R12" s="56">
        <f t="shared" si="4"/>
        <v>6.6512655971479493</v>
      </c>
      <c r="T12" s="46">
        <f t="shared" si="5"/>
        <v>13.769999999999982</v>
      </c>
      <c r="U12" s="57">
        <f t="shared" si="6"/>
        <v>3.1300000000000026</v>
      </c>
      <c r="V12" s="38">
        <f t="shared" si="7"/>
        <v>16.899999999999984</v>
      </c>
      <c r="W12" s="32">
        <v>5.61</v>
      </c>
      <c r="X12" s="32">
        <f t="shared" si="8"/>
        <v>3.0124777183600684</v>
      </c>
      <c r="Y12" s="51"/>
      <c r="Z12" s="51"/>
      <c r="AA12" s="51"/>
    </row>
    <row r="13" spans="1:27" x14ac:dyDescent="0.25">
      <c r="A13" s="54">
        <v>44753</v>
      </c>
      <c r="B13" s="55">
        <f>145.85</f>
        <v>145.85</v>
      </c>
      <c r="C13" s="55"/>
      <c r="D13" s="55">
        <v>144.76</v>
      </c>
      <c r="E13" s="55"/>
      <c r="F13" s="55">
        <f t="shared" si="0"/>
        <v>145.85</v>
      </c>
      <c r="G13" s="56">
        <v>5.61</v>
      </c>
      <c r="H13" s="56">
        <f>F13/G13</f>
        <v>25.998217468805702</v>
      </c>
      <c r="J13" s="54">
        <v>44753</v>
      </c>
      <c r="K13" s="55">
        <v>144.76</v>
      </c>
      <c r="L13" s="55"/>
      <c r="M13" s="55"/>
      <c r="N13" s="55"/>
      <c r="O13" s="55">
        <f t="shared" si="2"/>
        <v>144.76</v>
      </c>
      <c r="P13" s="56">
        <v>5.61</v>
      </c>
      <c r="Q13" s="56">
        <f t="shared" si="3"/>
        <v>25.803921568627448</v>
      </c>
      <c r="R13" s="56">
        <f t="shared" si="4"/>
        <v>0.51607843137254894</v>
      </c>
      <c r="T13" s="46">
        <f>B13-D13</f>
        <v>1.0900000000000034</v>
      </c>
      <c r="U13" s="57">
        <f>C13-E13</f>
        <v>0</v>
      </c>
      <c r="V13" s="38">
        <f>T13+U13</f>
        <v>1.0900000000000034</v>
      </c>
      <c r="W13" s="32">
        <v>5.61</v>
      </c>
      <c r="X13" s="32">
        <f t="shared" si="8"/>
        <v>0.19429590017825371</v>
      </c>
      <c r="Y13" s="51"/>
      <c r="Z13" s="51"/>
      <c r="AA13" s="51"/>
    </row>
    <row r="14" spans="1:27" x14ac:dyDescent="0.25">
      <c r="A14" s="54">
        <v>44754</v>
      </c>
      <c r="B14" s="55"/>
      <c r="C14" s="55"/>
      <c r="D14" s="55"/>
      <c r="E14" s="55"/>
      <c r="F14" s="55">
        <f t="shared" si="0"/>
        <v>0</v>
      </c>
      <c r="G14" s="56">
        <v>5.62</v>
      </c>
      <c r="H14" s="56">
        <f t="shared" si="1"/>
        <v>0</v>
      </c>
      <c r="J14" s="54">
        <v>44754</v>
      </c>
      <c r="K14" s="55"/>
      <c r="L14" s="55"/>
      <c r="M14" s="55"/>
      <c r="N14" s="55"/>
      <c r="O14" s="55">
        <f t="shared" si="2"/>
        <v>0</v>
      </c>
      <c r="P14" s="56">
        <v>5.62</v>
      </c>
      <c r="Q14" s="56">
        <f t="shared" si="3"/>
        <v>0</v>
      </c>
      <c r="R14" s="56">
        <f t="shared" si="4"/>
        <v>0</v>
      </c>
      <c r="T14" s="46">
        <f t="shared" si="5"/>
        <v>0</v>
      </c>
      <c r="U14" s="57">
        <f t="shared" si="6"/>
        <v>0</v>
      </c>
      <c r="V14" s="38">
        <f t="shared" si="7"/>
        <v>0</v>
      </c>
      <c r="W14" s="32">
        <v>5.62</v>
      </c>
      <c r="X14" s="32">
        <f t="shared" si="8"/>
        <v>0</v>
      </c>
      <c r="Y14" s="51"/>
      <c r="Z14" s="51"/>
      <c r="AA14" s="51"/>
    </row>
    <row r="15" spans="1:27" x14ac:dyDescent="0.25">
      <c r="A15" s="54">
        <v>44755</v>
      </c>
      <c r="B15" s="55"/>
      <c r="C15" s="55"/>
      <c r="D15" s="55"/>
      <c r="E15" s="55"/>
      <c r="F15" s="55">
        <f t="shared" si="0"/>
        <v>0</v>
      </c>
      <c r="G15" s="56">
        <v>5.66</v>
      </c>
      <c r="H15" s="56">
        <f t="shared" si="1"/>
        <v>0</v>
      </c>
      <c r="J15" s="54">
        <v>44755</v>
      </c>
      <c r="K15" s="55"/>
      <c r="L15" s="55"/>
      <c r="M15" s="55"/>
      <c r="N15" s="55"/>
      <c r="O15" s="55">
        <f t="shared" si="2"/>
        <v>0</v>
      </c>
      <c r="P15" s="56">
        <v>5.66</v>
      </c>
      <c r="Q15" s="56">
        <f t="shared" si="3"/>
        <v>0</v>
      </c>
      <c r="R15" s="56">
        <f t="shared" si="4"/>
        <v>0</v>
      </c>
      <c r="T15" s="46">
        <f t="shared" si="5"/>
        <v>0</v>
      </c>
      <c r="U15" s="57">
        <f t="shared" si="6"/>
        <v>0</v>
      </c>
      <c r="V15" s="38">
        <f t="shared" si="7"/>
        <v>0</v>
      </c>
      <c r="W15" s="32">
        <v>5.66</v>
      </c>
      <c r="X15" s="32">
        <f t="shared" si="8"/>
        <v>0</v>
      </c>
      <c r="Y15" s="51"/>
      <c r="Z15" s="51"/>
      <c r="AA15" s="51"/>
    </row>
    <row r="16" spans="1:27" x14ac:dyDescent="0.25">
      <c r="A16" s="54">
        <v>44756</v>
      </c>
      <c r="B16" s="55"/>
      <c r="C16" s="55"/>
      <c r="D16" s="55"/>
      <c r="E16" s="55"/>
      <c r="F16" s="55">
        <f t="shared" si="0"/>
        <v>0</v>
      </c>
      <c r="G16" s="56">
        <v>5.68</v>
      </c>
      <c r="H16" s="56">
        <f t="shared" si="1"/>
        <v>0</v>
      </c>
      <c r="J16" s="54">
        <v>44756</v>
      </c>
      <c r="K16" s="55"/>
      <c r="L16" s="55"/>
      <c r="M16" s="55"/>
      <c r="N16" s="55"/>
      <c r="O16" s="55">
        <f t="shared" si="2"/>
        <v>0</v>
      </c>
      <c r="P16" s="56">
        <v>5.68</v>
      </c>
      <c r="Q16" s="56">
        <f t="shared" si="3"/>
        <v>0</v>
      </c>
      <c r="R16" s="56">
        <f t="shared" si="4"/>
        <v>0</v>
      </c>
      <c r="T16" s="46">
        <f t="shared" si="5"/>
        <v>0</v>
      </c>
      <c r="U16" s="57">
        <f t="shared" si="6"/>
        <v>0</v>
      </c>
      <c r="V16" s="38">
        <f t="shared" si="7"/>
        <v>0</v>
      </c>
      <c r="W16" s="32">
        <v>5.68</v>
      </c>
      <c r="X16" s="32">
        <f t="shared" si="8"/>
        <v>0</v>
      </c>
      <c r="Y16" s="51"/>
      <c r="Z16" s="51"/>
      <c r="AA16" s="51"/>
    </row>
    <row r="17" spans="1:27" x14ac:dyDescent="0.25">
      <c r="A17" s="54">
        <v>44757</v>
      </c>
      <c r="B17" s="55"/>
      <c r="C17" s="55"/>
      <c r="D17" s="55"/>
      <c r="E17" s="55"/>
      <c r="F17" s="55">
        <f t="shared" si="0"/>
        <v>0</v>
      </c>
      <c r="G17" s="56">
        <v>5.7</v>
      </c>
      <c r="H17" s="56">
        <f t="shared" si="1"/>
        <v>0</v>
      </c>
      <c r="J17" s="54">
        <v>44757</v>
      </c>
      <c r="K17" s="55"/>
      <c r="L17" s="55"/>
      <c r="M17" s="55"/>
      <c r="N17" s="55"/>
      <c r="O17" s="55">
        <f t="shared" si="2"/>
        <v>0</v>
      </c>
      <c r="P17" s="56">
        <v>5.7</v>
      </c>
      <c r="Q17" s="56">
        <f t="shared" si="3"/>
        <v>0</v>
      </c>
      <c r="R17" s="56">
        <f t="shared" si="4"/>
        <v>0</v>
      </c>
      <c r="T17" s="46">
        <f t="shared" si="5"/>
        <v>0</v>
      </c>
      <c r="U17" s="57">
        <f t="shared" si="6"/>
        <v>0</v>
      </c>
      <c r="V17" s="38">
        <f t="shared" si="7"/>
        <v>0</v>
      </c>
      <c r="W17" s="32">
        <v>5.7</v>
      </c>
      <c r="X17" s="32">
        <f t="shared" si="8"/>
        <v>0</v>
      </c>
      <c r="Y17" s="51"/>
      <c r="Z17" s="51"/>
      <c r="AA17" s="51"/>
    </row>
    <row r="18" spans="1:27" x14ac:dyDescent="0.25">
      <c r="A18" s="54">
        <v>44758</v>
      </c>
      <c r="B18" s="55"/>
      <c r="C18" s="55"/>
      <c r="D18" s="55"/>
      <c r="E18" s="55"/>
      <c r="F18" s="55">
        <f t="shared" si="0"/>
        <v>0</v>
      </c>
      <c r="G18" s="56">
        <v>5.7</v>
      </c>
      <c r="H18" s="56">
        <f t="shared" si="1"/>
        <v>0</v>
      </c>
      <c r="J18" s="54">
        <v>44758</v>
      </c>
      <c r="K18" s="55"/>
      <c r="L18" s="55"/>
      <c r="M18" s="55"/>
      <c r="N18" s="55"/>
      <c r="O18" s="55">
        <f t="shared" si="2"/>
        <v>0</v>
      </c>
      <c r="P18" s="56">
        <v>5.7</v>
      </c>
      <c r="Q18" s="56">
        <f t="shared" si="3"/>
        <v>0</v>
      </c>
      <c r="R18" s="56">
        <f t="shared" si="4"/>
        <v>0</v>
      </c>
      <c r="T18" s="46">
        <f t="shared" si="5"/>
        <v>0</v>
      </c>
      <c r="U18" s="57">
        <f t="shared" si="6"/>
        <v>0</v>
      </c>
      <c r="V18" s="38">
        <f t="shared" si="7"/>
        <v>0</v>
      </c>
      <c r="W18" s="32">
        <v>5.7</v>
      </c>
      <c r="X18" s="32">
        <f t="shared" si="8"/>
        <v>0</v>
      </c>
      <c r="Y18" s="51"/>
      <c r="Z18" s="51"/>
      <c r="AA18" s="51"/>
    </row>
    <row r="19" spans="1:27" x14ac:dyDescent="0.25">
      <c r="A19" s="54">
        <v>44759</v>
      </c>
      <c r="B19" s="55">
        <v>3685.91</v>
      </c>
      <c r="C19" s="55">
        <f>159.35+88.86</f>
        <v>248.20999999999998</v>
      </c>
      <c r="D19" s="55">
        <v>3658.27</v>
      </c>
      <c r="E19" s="55">
        <f>82.81+148.5</f>
        <v>231.31</v>
      </c>
      <c r="F19" s="55">
        <f>B19+C19</f>
        <v>3934.12</v>
      </c>
      <c r="G19" s="56">
        <v>5.7</v>
      </c>
      <c r="H19" s="56">
        <f>F19/G19</f>
        <v>690.19649122807016</v>
      </c>
      <c r="J19" s="54">
        <v>44759</v>
      </c>
      <c r="K19" s="55">
        <v>3658.27</v>
      </c>
      <c r="L19" s="55">
        <v>231.31</v>
      </c>
      <c r="M19" s="55"/>
      <c r="N19" s="55"/>
      <c r="O19" s="55">
        <f t="shared" si="2"/>
        <v>3889.58</v>
      </c>
      <c r="P19" s="56">
        <v>5.7</v>
      </c>
      <c r="Q19" s="56">
        <f t="shared" si="3"/>
        <v>682.38245614035088</v>
      </c>
      <c r="R19" s="56">
        <f t="shared" si="4"/>
        <v>13.647649122807017</v>
      </c>
      <c r="T19" s="46">
        <f t="shared" si="5"/>
        <v>27.639999999999873</v>
      </c>
      <c r="U19" s="57">
        <f t="shared" si="6"/>
        <v>16.899999999999977</v>
      </c>
      <c r="V19" s="38">
        <f t="shared" si="7"/>
        <v>44.53999999999985</v>
      </c>
      <c r="W19" s="32">
        <v>5.7</v>
      </c>
      <c r="X19" s="32">
        <f t="shared" si="8"/>
        <v>7.8140350877192715</v>
      </c>
      <c r="Y19" s="51"/>
      <c r="Z19" s="51"/>
      <c r="AA19" s="51"/>
    </row>
    <row r="20" spans="1:27" x14ac:dyDescent="0.25">
      <c r="A20" s="54">
        <v>44760</v>
      </c>
      <c r="B20" s="55">
        <v>1505.42</v>
      </c>
      <c r="C20" s="55"/>
      <c r="D20" s="55">
        <v>1494.13</v>
      </c>
      <c r="E20" s="55"/>
      <c r="F20" s="55">
        <f t="shared" si="0"/>
        <v>1505.42</v>
      </c>
      <c r="G20" s="56">
        <v>5.7</v>
      </c>
      <c r="H20" s="56">
        <f t="shared" ref="H20:H25" si="9">F20/G20</f>
        <v>264.10877192982457</v>
      </c>
      <c r="J20" s="54">
        <v>44760</v>
      </c>
      <c r="K20" s="55">
        <v>1494.13</v>
      </c>
      <c r="L20" s="55"/>
      <c r="M20" s="55"/>
      <c r="N20" s="55"/>
      <c r="O20" s="55">
        <f t="shared" si="2"/>
        <v>1494.13</v>
      </c>
      <c r="P20" s="56">
        <v>5.7</v>
      </c>
      <c r="Q20" s="56">
        <f t="shared" si="3"/>
        <v>262.12807017543861</v>
      </c>
      <c r="R20" s="56">
        <f t="shared" si="4"/>
        <v>5.2425614035087724</v>
      </c>
      <c r="T20" s="46">
        <f t="shared" si="5"/>
        <v>11.289999999999964</v>
      </c>
      <c r="U20" s="57">
        <f t="shared" si="6"/>
        <v>0</v>
      </c>
      <c r="V20" s="38">
        <f t="shared" si="7"/>
        <v>11.289999999999964</v>
      </c>
      <c r="W20" s="32">
        <v>5.7</v>
      </c>
      <c r="X20" s="32">
        <f t="shared" si="8"/>
        <v>1.9807017543859584</v>
      </c>
      <c r="Y20" s="51"/>
      <c r="Z20" s="51"/>
      <c r="AA20" s="51"/>
    </row>
    <row r="21" spans="1:27" x14ac:dyDescent="0.25">
      <c r="A21" s="54">
        <v>44761</v>
      </c>
      <c r="B21" s="55">
        <v>1865.73</v>
      </c>
      <c r="C21" s="55"/>
      <c r="D21" s="55">
        <v>1851.74</v>
      </c>
      <c r="E21" s="55"/>
      <c r="F21" s="55">
        <f t="shared" si="0"/>
        <v>1865.73</v>
      </c>
      <c r="G21" s="56">
        <v>5.7</v>
      </c>
      <c r="H21" s="56">
        <f t="shared" si="9"/>
        <v>327.32105263157894</v>
      </c>
      <c r="J21" s="54">
        <v>44761</v>
      </c>
      <c r="K21" s="55">
        <v>1851.74</v>
      </c>
      <c r="L21" s="55"/>
      <c r="M21" s="55"/>
      <c r="N21" s="55"/>
      <c r="O21" s="55">
        <f t="shared" si="2"/>
        <v>1851.74</v>
      </c>
      <c r="P21" s="56">
        <v>5.7</v>
      </c>
      <c r="Q21" s="56">
        <f t="shared" si="3"/>
        <v>324.86666666666667</v>
      </c>
      <c r="R21" s="56">
        <f t="shared" si="4"/>
        <v>6.4973333333333336</v>
      </c>
      <c r="T21" s="46">
        <f t="shared" si="5"/>
        <v>13.990000000000009</v>
      </c>
      <c r="U21" s="57">
        <f t="shared" si="6"/>
        <v>0</v>
      </c>
      <c r="V21" s="38">
        <f t="shared" si="7"/>
        <v>13.990000000000009</v>
      </c>
      <c r="W21" s="32">
        <v>5.7</v>
      </c>
      <c r="X21" s="32">
        <f t="shared" si="8"/>
        <v>2.4543859649122823</v>
      </c>
      <c r="Y21" s="51"/>
      <c r="Z21" s="51"/>
      <c r="AA21" s="51"/>
    </row>
    <row r="22" spans="1:27" x14ac:dyDescent="0.25">
      <c r="A22" s="54">
        <v>44762</v>
      </c>
      <c r="B22" s="55">
        <v>1565.56</v>
      </c>
      <c r="C22" s="55"/>
      <c r="D22" s="55">
        <v>1553.82</v>
      </c>
      <c r="E22" s="55"/>
      <c r="F22" s="55">
        <f t="shared" si="0"/>
        <v>1565.56</v>
      </c>
      <c r="G22" s="56">
        <v>5.7</v>
      </c>
      <c r="H22" s="56">
        <f t="shared" si="9"/>
        <v>274.65964912280702</v>
      </c>
      <c r="J22" s="54">
        <v>44762</v>
      </c>
      <c r="K22" s="55">
        <v>1553.82</v>
      </c>
      <c r="L22" s="55"/>
      <c r="M22" s="55"/>
      <c r="N22" s="55"/>
      <c r="O22" s="55">
        <f t="shared" si="2"/>
        <v>1553.82</v>
      </c>
      <c r="P22" s="56">
        <v>5.7</v>
      </c>
      <c r="Q22" s="56">
        <f t="shared" si="3"/>
        <v>272.59999999999997</v>
      </c>
      <c r="R22" s="56">
        <f t="shared" si="4"/>
        <v>5.4519999999999991</v>
      </c>
      <c r="T22" s="46">
        <f t="shared" si="5"/>
        <v>11.740000000000009</v>
      </c>
      <c r="U22" s="57">
        <f t="shared" si="6"/>
        <v>0</v>
      </c>
      <c r="V22" s="38">
        <f t="shared" si="7"/>
        <v>11.740000000000009</v>
      </c>
      <c r="W22" s="32">
        <v>5.7</v>
      </c>
      <c r="X22" s="32">
        <f t="shared" si="8"/>
        <v>2.0596491228070191</v>
      </c>
      <c r="Y22" s="51"/>
      <c r="Z22" s="51"/>
      <c r="AA22" s="51"/>
    </row>
    <row r="23" spans="1:27" x14ac:dyDescent="0.25">
      <c r="A23" s="54">
        <v>44763</v>
      </c>
      <c r="B23" s="55">
        <v>2510.0300000000002</v>
      </c>
      <c r="C23" s="55">
        <v>20.63</v>
      </c>
      <c r="D23" s="55">
        <v>2491.1999999999998</v>
      </c>
      <c r="E23" s="55">
        <v>19.23</v>
      </c>
      <c r="F23" s="55">
        <f t="shared" si="0"/>
        <v>2530.6600000000003</v>
      </c>
      <c r="G23" s="56">
        <v>5.73</v>
      </c>
      <c r="H23" s="56">
        <f t="shared" si="9"/>
        <v>441.65095986038398</v>
      </c>
      <c r="J23" s="54">
        <v>44763</v>
      </c>
      <c r="K23" s="55">
        <v>2491.1999999999998</v>
      </c>
      <c r="L23" s="55">
        <v>19.23</v>
      </c>
      <c r="M23" s="55"/>
      <c r="N23" s="55"/>
      <c r="O23" s="55">
        <f t="shared" si="2"/>
        <v>2510.4299999999998</v>
      </c>
      <c r="P23" s="56">
        <v>5.73</v>
      </c>
      <c r="Q23" s="56">
        <f t="shared" si="3"/>
        <v>438.1204188481675</v>
      </c>
      <c r="R23" s="56">
        <f t="shared" si="4"/>
        <v>8.7624083769633501</v>
      </c>
      <c r="T23" s="46">
        <f t="shared" si="5"/>
        <v>18.830000000000382</v>
      </c>
      <c r="U23" s="57">
        <f t="shared" si="6"/>
        <v>1.3999999999999986</v>
      </c>
      <c r="V23" s="38">
        <f t="shared" si="7"/>
        <v>20.230000000000381</v>
      </c>
      <c r="W23" s="32">
        <v>5.73</v>
      </c>
      <c r="X23" s="32">
        <f t="shared" si="8"/>
        <v>3.5305410122164709</v>
      </c>
      <c r="Y23" s="51"/>
      <c r="Z23" s="51"/>
      <c r="AA23" s="51"/>
    </row>
    <row r="24" spans="1:27" x14ac:dyDescent="0.25">
      <c r="A24" s="54">
        <v>44764</v>
      </c>
      <c r="B24" s="55">
        <f>2059.06+1311.05</f>
        <v>3370.1099999999997</v>
      </c>
      <c r="C24" s="55">
        <v>75.75</v>
      </c>
      <c r="D24" s="55">
        <f>2043.62+1301.22</f>
        <v>3344.84</v>
      </c>
      <c r="E24" s="55">
        <v>70.59</v>
      </c>
      <c r="F24" s="55">
        <f t="shared" si="0"/>
        <v>3445.8599999999997</v>
      </c>
      <c r="G24" s="56">
        <v>5.73</v>
      </c>
      <c r="H24" s="56">
        <f t="shared" si="9"/>
        <v>601.371727748691</v>
      </c>
      <c r="J24" s="54">
        <v>44764</v>
      </c>
      <c r="K24" s="55">
        <v>3344.84</v>
      </c>
      <c r="L24" s="55">
        <v>70.59</v>
      </c>
      <c r="M24" s="55"/>
      <c r="N24" s="55"/>
      <c r="O24" s="55">
        <f t="shared" si="2"/>
        <v>3415.4300000000003</v>
      </c>
      <c r="P24" s="56">
        <v>5.73</v>
      </c>
      <c r="Q24" s="56">
        <f t="shared" si="3"/>
        <v>596.06108202443284</v>
      </c>
      <c r="R24" s="56">
        <f t="shared" si="4"/>
        <v>11.921221640488657</v>
      </c>
      <c r="T24" s="46">
        <f t="shared" si="5"/>
        <v>25.269999999999527</v>
      </c>
      <c r="U24" s="57">
        <f t="shared" si="6"/>
        <v>5.1599999999999966</v>
      </c>
      <c r="V24" s="38">
        <f t="shared" si="7"/>
        <v>30.429999999999524</v>
      </c>
      <c r="W24" s="32">
        <v>5.73</v>
      </c>
      <c r="X24" s="32">
        <f t="shared" si="8"/>
        <v>5.3106457242582064</v>
      </c>
      <c r="Y24" s="51"/>
      <c r="Z24" s="51"/>
      <c r="AA24" s="51"/>
    </row>
    <row r="25" spans="1:27" x14ac:dyDescent="0.25">
      <c r="A25" s="54">
        <v>44765</v>
      </c>
      <c r="B25" s="55">
        <f>2011.85+3026.07</f>
        <v>5037.92</v>
      </c>
      <c r="C25" s="55">
        <v>131.91</v>
      </c>
      <c r="D25" s="55">
        <f>1996.76+3003.37</f>
        <v>5000.13</v>
      </c>
      <c r="E25" s="55">
        <v>122.93</v>
      </c>
      <c r="F25" s="55">
        <f t="shared" si="0"/>
        <v>5169.83</v>
      </c>
      <c r="G25" s="56">
        <v>5.73</v>
      </c>
      <c r="H25" s="56">
        <f t="shared" si="9"/>
        <v>902.2390924956369</v>
      </c>
      <c r="J25" s="54">
        <v>44765</v>
      </c>
      <c r="K25" s="55">
        <v>5000.13</v>
      </c>
      <c r="L25" s="55">
        <v>122.93</v>
      </c>
      <c r="M25" s="55"/>
      <c r="N25" s="55"/>
      <c r="O25" s="55">
        <f t="shared" si="2"/>
        <v>5123.0600000000004</v>
      </c>
      <c r="P25" s="56">
        <v>5.73</v>
      </c>
      <c r="Q25" s="56">
        <f t="shared" si="3"/>
        <v>894.07678883071549</v>
      </c>
      <c r="R25" s="56">
        <f t="shared" si="4"/>
        <v>17.88153577661431</v>
      </c>
      <c r="T25" s="46">
        <f t="shared" si="5"/>
        <v>37.789999999999964</v>
      </c>
      <c r="U25" s="57">
        <f t="shared" si="6"/>
        <v>8.9799999999999898</v>
      </c>
      <c r="V25" s="38">
        <f t="shared" si="7"/>
        <v>46.769999999999953</v>
      </c>
      <c r="W25" s="51">
        <v>5.73</v>
      </c>
      <c r="X25" s="32">
        <f t="shared" si="8"/>
        <v>8.162303664921458</v>
      </c>
      <c r="Y25" s="51"/>
      <c r="Z25" s="51"/>
      <c r="AA25" s="51"/>
    </row>
    <row r="26" spans="1:27" x14ac:dyDescent="0.25">
      <c r="A26" s="54">
        <v>44766</v>
      </c>
      <c r="B26" s="55">
        <f>1705.68+807.88</f>
        <v>2513.56</v>
      </c>
      <c r="C26" s="55"/>
      <c r="D26" s="55">
        <f>1692.89+801.82</f>
        <v>2494.71</v>
      </c>
      <c r="E26" s="55"/>
      <c r="F26" s="55">
        <f t="shared" si="0"/>
        <v>2513.56</v>
      </c>
      <c r="G26" s="56">
        <v>5.73</v>
      </c>
      <c r="H26" s="56">
        <f>F26/G26</f>
        <v>438.66666666666663</v>
      </c>
      <c r="J26" s="54">
        <v>44766</v>
      </c>
      <c r="K26" s="55">
        <v>2494.71</v>
      </c>
      <c r="L26" s="55"/>
      <c r="M26" s="55"/>
      <c r="N26" s="55"/>
      <c r="O26" s="55">
        <f t="shared" si="2"/>
        <v>2494.71</v>
      </c>
      <c r="P26" s="56">
        <v>5.73</v>
      </c>
      <c r="Q26" s="56">
        <f t="shared" si="3"/>
        <v>435.37696335078533</v>
      </c>
      <c r="R26" s="56">
        <f t="shared" si="4"/>
        <v>8.7075392670157061</v>
      </c>
      <c r="T26" s="46">
        <f t="shared" si="5"/>
        <v>18.849999999999909</v>
      </c>
      <c r="U26" s="57">
        <f t="shared" si="6"/>
        <v>0</v>
      </c>
      <c r="V26" s="38">
        <f t="shared" si="7"/>
        <v>18.849999999999909</v>
      </c>
      <c r="W26" s="51">
        <v>5.73</v>
      </c>
      <c r="X26" s="32">
        <f t="shared" si="8"/>
        <v>3.2897033158813103</v>
      </c>
      <c r="Y26" s="51"/>
      <c r="Z26" s="51"/>
      <c r="AA26" s="51"/>
    </row>
    <row r="27" spans="1:27" x14ac:dyDescent="0.25">
      <c r="A27" s="54">
        <v>44767</v>
      </c>
      <c r="B27" s="55">
        <f>3149.39</f>
        <v>3149.39</v>
      </c>
      <c r="C27" s="55">
        <v>17</v>
      </c>
      <c r="D27" s="55">
        <v>3125.77</v>
      </c>
      <c r="E27" s="55">
        <v>15.84</v>
      </c>
      <c r="F27" s="55">
        <f t="shared" si="0"/>
        <v>3166.39</v>
      </c>
      <c r="G27" s="56">
        <v>5.73</v>
      </c>
      <c r="H27" s="56">
        <f t="shared" ref="H27:H33" si="10">F27/G27</f>
        <v>552.59860383944147</v>
      </c>
      <c r="J27" s="54">
        <v>44767</v>
      </c>
      <c r="K27" s="55">
        <v>3125.77</v>
      </c>
      <c r="L27" s="55">
        <v>15.84</v>
      </c>
      <c r="M27" s="55"/>
      <c r="N27" s="55"/>
      <c r="O27" s="55">
        <f t="shared" si="2"/>
        <v>3141.61</v>
      </c>
      <c r="P27" s="56">
        <v>5.73</v>
      </c>
      <c r="Q27" s="56">
        <f t="shared" si="3"/>
        <v>548.27399650959853</v>
      </c>
      <c r="R27" s="56">
        <f t="shared" si="4"/>
        <v>10.965479930191972</v>
      </c>
      <c r="T27" s="46">
        <f t="shared" si="5"/>
        <v>23.619999999999891</v>
      </c>
      <c r="U27" s="57">
        <f t="shared" si="6"/>
        <v>1.1600000000000001</v>
      </c>
      <c r="V27" s="38">
        <f t="shared" si="7"/>
        <v>24.779999999999891</v>
      </c>
      <c r="W27" s="51">
        <v>5.73</v>
      </c>
      <c r="X27" s="32">
        <f t="shared" si="8"/>
        <v>4.3246073298429124</v>
      </c>
      <c r="Y27" s="51"/>
      <c r="Z27" s="51"/>
      <c r="AA27" s="51"/>
    </row>
    <row r="28" spans="1:27" x14ac:dyDescent="0.25">
      <c r="A28" s="54">
        <v>44768</v>
      </c>
      <c r="B28" s="55">
        <v>1335.07</v>
      </c>
      <c r="C28" s="55"/>
      <c r="D28" s="55">
        <v>1325.06</v>
      </c>
      <c r="E28" s="55"/>
      <c r="F28" s="55">
        <f t="shared" si="0"/>
        <v>1335.07</v>
      </c>
      <c r="G28" s="56">
        <v>5.73</v>
      </c>
      <c r="H28" s="56">
        <f t="shared" si="10"/>
        <v>232.99650959860381</v>
      </c>
      <c r="J28" s="54">
        <v>44768</v>
      </c>
      <c r="K28" s="55">
        <v>1325.06</v>
      </c>
      <c r="L28" s="55"/>
      <c r="M28" s="55"/>
      <c r="N28" s="55"/>
      <c r="O28" s="55">
        <f t="shared" si="2"/>
        <v>1325.06</v>
      </c>
      <c r="P28" s="56">
        <v>5.73</v>
      </c>
      <c r="Q28" s="56">
        <f t="shared" si="3"/>
        <v>231.24956369982544</v>
      </c>
      <c r="R28" s="56">
        <f t="shared" si="4"/>
        <v>4.6249912739965087</v>
      </c>
      <c r="T28" s="46">
        <f t="shared" si="5"/>
        <v>10.009999999999991</v>
      </c>
      <c r="U28" s="57">
        <f t="shared" si="6"/>
        <v>0</v>
      </c>
      <c r="V28" s="38">
        <f t="shared" si="7"/>
        <v>10.009999999999991</v>
      </c>
      <c r="W28" s="51">
        <v>5.73</v>
      </c>
      <c r="X28" s="32">
        <f t="shared" si="8"/>
        <v>1.7469458987783577</v>
      </c>
      <c r="Y28" s="51"/>
      <c r="Z28" s="51"/>
      <c r="AA28" s="51"/>
    </row>
    <row r="29" spans="1:27" x14ac:dyDescent="0.25">
      <c r="A29" s="54">
        <v>44769</v>
      </c>
      <c r="B29" s="55">
        <f>1246.26+2057.41</f>
        <v>3303.67</v>
      </c>
      <c r="C29" s="55">
        <v>12.3</v>
      </c>
      <c r="D29" s="55">
        <f>1236.91+2041.98</f>
        <v>3278.8900000000003</v>
      </c>
      <c r="E29" s="55">
        <v>11.46</v>
      </c>
      <c r="F29" s="55">
        <f t="shared" si="0"/>
        <v>3315.9700000000003</v>
      </c>
      <c r="G29" s="56">
        <v>5.75</v>
      </c>
      <c r="H29" s="56">
        <f t="shared" si="10"/>
        <v>576.69043478260869</v>
      </c>
      <c r="J29" s="54">
        <v>44769</v>
      </c>
      <c r="K29" s="55">
        <v>3278.8900000000003</v>
      </c>
      <c r="L29" s="55">
        <v>11.46</v>
      </c>
      <c r="M29" s="55"/>
      <c r="N29" s="55"/>
      <c r="O29" s="55">
        <f t="shared" si="2"/>
        <v>3290.3500000000004</v>
      </c>
      <c r="P29" s="56">
        <v>5.75</v>
      </c>
      <c r="Q29" s="56">
        <f t="shared" si="3"/>
        <v>572.2347826086957</v>
      </c>
      <c r="R29" s="56">
        <f t="shared" si="4"/>
        <v>11.444695652173914</v>
      </c>
      <c r="T29" s="46">
        <f t="shared" si="5"/>
        <v>24.779999999999745</v>
      </c>
      <c r="U29" s="57">
        <f t="shared" si="6"/>
        <v>0.83999999999999986</v>
      </c>
      <c r="V29" s="38">
        <f t="shared" si="7"/>
        <v>25.619999999999745</v>
      </c>
      <c r="W29">
        <v>5.75</v>
      </c>
      <c r="X29" s="32">
        <f t="shared" si="8"/>
        <v>4.4556521739129993</v>
      </c>
    </row>
    <row r="30" spans="1:27" x14ac:dyDescent="0.25">
      <c r="A30" s="54">
        <v>44770</v>
      </c>
      <c r="B30" s="55">
        <f>2065.65</f>
        <v>2065.65</v>
      </c>
      <c r="C30" s="55"/>
      <c r="D30" s="55">
        <v>2050.16</v>
      </c>
      <c r="E30" s="55"/>
      <c r="F30" s="55">
        <f t="shared" si="0"/>
        <v>2065.65</v>
      </c>
      <c r="G30" s="56">
        <v>5.78</v>
      </c>
      <c r="H30" s="56">
        <f t="shared" si="10"/>
        <v>357.37889273356399</v>
      </c>
      <c r="J30" s="54">
        <v>44770</v>
      </c>
      <c r="K30" s="55">
        <v>2050.16</v>
      </c>
      <c r="L30" s="55"/>
      <c r="M30" s="55"/>
      <c r="N30" s="55"/>
      <c r="O30" s="55">
        <f t="shared" si="2"/>
        <v>2050.16</v>
      </c>
      <c r="P30" s="56">
        <v>5.78</v>
      </c>
      <c r="Q30" s="56">
        <f t="shared" si="3"/>
        <v>354.69896193771621</v>
      </c>
      <c r="R30" s="56">
        <f t="shared" si="4"/>
        <v>7.0939792387543239</v>
      </c>
      <c r="T30" s="46">
        <f t="shared" si="5"/>
        <v>15.490000000000236</v>
      </c>
      <c r="U30" s="57">
        <f t="shared" si="6"/>
        <v>0</v>
      </c>
      <c r="V30" s="38">
        <f t="shared" si="7"/>
        <v>15.490000000000236</v>
      </c>
      <c r="W30">
        <v>5.78</v>
      </c>
      <c r="X30" s="32">
        <f t="shared" si="8"/>
        <v>2.6799307958477918</v>
      </c>
    </row>
    <row r="31" spans="1:27" x14ac:dyDescent="0.25">
      <c r="A31" s="54">
        <v>44771</v>
      </c>
      <c r="B31" s="55">
        <f>387.43+2437.13</f>
        <v>2824.56</v>
      </c>
      <c r="C31" s="55">
        <v>170.08</v>
      </c>
      <c r="D31" s="55">
        <f>384.52+2418.85</f>
        <v>2803.37</v>
      </c>
      <c r="E31" s="55">
        <v>158.5</v>
      </c>
      <c r="F31" s="55">
        <f t="shared" si="0"/>
        <v>2994.64</v>
      </c>
      <c r="G31" s="56">
        <v>5.78</v>
      </c>
      <c r="H31" s="56">
        <f t="shared" si="10"/>
        <v>518.10380622837363</v>
      </c>
      <c r="J31" s="54">
        <v>44771</v>
      </c>
      <c r="K31" s="55">
        <v>2803.37</v>
      </c>
      <c r="L31" s="55">
        <v>158.5</v>
      </c>
      <c r="M31" s="55"/>
      <c r="N31" s="55"/>
      <c r="O31" s="55">
        <f t="shared" si="2"/>
        <v>2961.87</v>
      </c>
      <c r="P31" s="56">
        <v>5.78</v>
      </c>
      <c r="Q31" s="56">
        <f t="shared" si="3"/>
        <v>512.43425605536333</v>
      </c>
      <c r="R31" s="56">
        <f t="shared" si="4"/>
        <v>10.248685121107266</v>
      </c>
      <c r="T31" s="46">
        <f t="shared" si="5"/>
        <v>21.190000000000055</v>
      </c>
      <c r="U31" s="57">
        <f t="shared" si="6"/>
        <v>11.580000000000013</v>
      </c>
      <c r="V31" s="38">
        <f t="shared" si="7"/>
        <v>32.770000000000067</v>
      </c>
      <c r="W31">
        <v>5.78</v>
      </c>
      <c r="X31" s="32">
        <f t="shared" si="8"/>
        <v>5.6695501730103919</v>
      </c>
    </row>
    <row r="32" spans="1:27" x14ac:dyDescent="0.25">
      <c r="A32" s="54">
        <v>44772</v>
      </c>
      <c r="B32" s="55">
        <f>847.65+1979.81</f>
        <v>2827.46</v>
      </c>
      <c r="C32" s="55"/>
      <c r="D32" s="55">
        <f>841.29+1964.96</f>
        <v>2806.25</v>
      </c>
      <c r="E32" s="55"/>
      <c r="F32" s="55">
        <f t="shared" si="0"/>
        <v>2827.46</v>
      </c>
      <c r="G32" s="56">
        <v>5.79</v>
      </c>
      <c r="H32" s="56">
        <f t="shared" si="10"/>
        <v>488.3350604490501</v>
      </c>
      <c r="J32" s="54">
        <v>44772</v>
      </c>
      <c r="K32" s="55">
        <v>2806.25</v>
      </c>
      <c r="L32" s="55"/>
      <c r="M32" s="55"/>
      <c r="N32" s="55"/>
      <c r="O32" s="55">
        <f t="shared" si="2"/>
        <v>2806.25</v>
      </c>
      <c r="P32" s="56">
        <v>5.79</v>
      </c>
      <c r="Q32" s="56">
        <f t="shared" si="3"/>
        <v>484.67184801381694</v>
      </c>
      <c r="R32" s="56">
        <f t="shared" si="4"/>
        <v>9.6934369602763386</v>
      </c>
      <c r="T32" s="46">
        <f t="shared" si="5"/>
        <v>21.210000000000036</v>
      </c>
      <c r="U32" s="57">
        <f t="shared" si="6"/>
        <v>0</v>
      </c>
      <c r="V32" s="38">
        <f t="shared" si="7"/>
        <v>21.210000000000036</v>
      </c>
      <c r="W32">
        <v>5.79</v>
      </c>
      <c r="X32" s="32">
        <f t="shared" si="8"/>
        <v>3.663212435233167</v>
      </c>
    </row>
    <row r="33" spans="1:24" x14ac:dyDescent="0.25">
      <c r="A33" s="54">
        <v>44773</v>
      </c>
      <c r="B33" s="50">
        <f>2745.26+32.48</f>
        <v>2777.7400000000002</v>
      </c>
      <c r="C33" s="50"/>
      <c r="D33" s="50">
        <f>2724.67+32.24</f>
        <v>2756.91</v>
      </c>
      <c r="E33" s="50"/>
      <c r="F33" s="55">
        <f t="shared" si="0"/>
        <v>2777.7400000000002</v>
      </c>
      <c r="G33" s="56">
        <v>5.79</v>
      </c>
      <c r="H33" s="56">
        <f t="shared" si="10"/>
        <v>479.7478411053541</v>
      </c>
      <c r="J33" s="54">
        <v>44773</v>
      </c>
      <c r="K33" s="50">
        <v>2756.91</v>
      </c>
      <c r="L33" s="50"/>
      <c r="M33" s="50"/>
      <c r="N33" s="50"/>
      <c r="O33" s="55">
        <f t="shared" si="2"/>
        <v>2756.91</v>
      </c>
      <c r="P33" s="56">
        <v>5.79</v>
      </c>
      <c r="Q33" s="56">
        <f t="shared" si="3"/>
        <v>476.15025906735747</v>
      </c>
      <c r="R33" s="56">
        <f t="shared" si="4"/>
        <v>9.5230051813471501</v>
      </c>
      <c r="T33" s="46">
        <f t="shared" si="5"/>
        <v>20.830000000000382</v>
      </c>
      <c r="U33" s="57">
        <f t="shared" si="6"/>
        <v>0</v>
      </c>
      <c r="V33" s="38">
        <f t="shared" si="7"/>
        <v>20.830000000000382</v>
      </c>
      <c r="W33">
        <v>5.79</v>
      </c>
      <c r="X33" s="32">
        <f t="shared" si="8"/>
        <v>3.5975820379966117</v>
      </c>
    </row>
    <row r="34" spans="1:24" x14ac:dyDescent="0.25">
      <c r="F34" s="58">
        <f>SUM(F3:F33)</f>
        <v>48478.810000000005</v>
      </c>
      <c r="G34" s="59"/>
      <c r="H34" s="48">
        <f>SUM(H3:H33)</f>
        <v>8476.7518349304573</v>
      </c>
      <c r="O34" s="58">
        <f>SUM(O3:O33)</f>
        <v>48067.67</v>
      </c>
      <c r="P34" s="60"/>
      <c r="Q34" s="61">
        <f>SUM(Q3:Q33)</f>
        <v>8404.8555256936379</v>
      </c>
      <c r="R34" s="61">
        <f>SUM(R3:R33)</f>
        <v>168.09711051387271</v>
      </c>
      <c r="X34" s="32"/>
    </row>
    <row r="35" spans="1:24" x14ac:dyDescent="0.25">
      <c r="A35" s="13" t="s">
        <v>53</v>
      </c>
      <c r="B35" s="14"/>
      <c r="C35" s="15"/>
      <c r="D35" s="15"/>
      <c r="E35" s="16"/>
      <c r="K35" s="13" t="s">
        <v>53</v>
      </c>
      <c r="L35" s="14"/>
      <c r="M35" s="15"/>
      <c r="N35" s="15"/>
      <c r="O35" s="16"/>
    </row>
    <row r="36" spans="1:24" ht="45" x14ac:dyDescent="0.25">
      <c r="A36" s="49" t="s">
        <v>0</v>
      </c>
      <c r="B36" s="49" t="s">
        <v>28</v>
      </c>
      <c r="C36" s="49" t="s">
        <v>29</v>
      </c>
      <c r="D36" s="49" t="s">
        <v>28</v>
      </c>
      <c r="E36" s="49" t="s">
        <v>29</v>
      </c>
      <c r="F36" s="49" t="s">
        <v>7</v>
      </c>
      <c r="G36" s="52" t="s">
        <v>9</v>
      </c>
      <c r="H36" s="52" t="s">
        <v>6</v>
      </c>
      <c r="J36" s="49" t="s">
        <v>0</v>
      </c>
      <c r="K36" s="49" t="s">
        <v>28</v>
      </c>
      <c r="L36" s="49" t="s">
        <v>29</v>
      </c>
      <c r="M36" s="49" t="s">
        <v>28</v>
      </c>
      <c r="N36" s="49" t="s">
        <v>29</v>
      </c>
      <c r="O36" s="49" t="s">
        <v>7</v>
      </c>
      <c r="P36" s="52" t="s">
        <v>9</v>
      </c>
      <c r="Q36" s="52" t="s">
        <v>6</v>
      </c>
      <c r="R36" s="53" t="s">
        <v>27</v>
      </c>
      <c r="U36" s="51"/>
      <c r="V36" s="51"/>
      <c r="W36" s="51"/>
      <c r="X36" s="51"/>
    </row>
    <row r="37" spans="1:24" x14ac:dyDescent="0.25">
      <c r="A37" s="54">
        <v>44743</v>
      </c>
      <c r="B37" s="55">
        <v>1170.79</v>
      </c>
      <c r="C37" s="55">
        <v>112.05</v>
      </c>
      <c r="D37" s="55">
        <v>1162.01</v>
      </c>
      <c r="E37" s="55">
        <v>104.42</v>
      </c>
      <c r="F37" s="55">
        <f>B37+C37</f>
        <v>1282.8399999999999</v>
      </c>
      <c r="G37" s="56">
        <v>5.56</v>
      </c>
      <c r="H37" s="56">
        <f>F37/G37</f>
        <v>230.72661870503597</v>
      </c>
      <c r="J37" s="54">
        <v>44743</v>
      </c>
      <c r="K37" s="55">
        <v>1162.01</v>
      </c>
      <c r="L37" s="55">
        <v>104.42</v>
      </c>
      <c r="M37" s="55"/>
      <c r="N37" s="55"/>
      <c r="O37" s="55">
        <f>K37+L37</f>
        <v>1266.43</v>
      </c>
      <c r="P37" s="56">
        <v>5.56</v>
      </c>
      <c r="Q37" s="56">
        <f>O37/P37</f>
        <v>227.77517985611513</v>
      </c>
      <c r="R37" s="56">
        <f>Q37*2%</f>
        <v>4.5555035971223026</v>
      </c>
      <c r="T37" s="46">
        <f>B37-D37</f>
        <v>8.7799999999999727</v>
      </c>
      <c r="U37" s="57">
        <f>C37-E37</f>
        <v>7.6299999999999955</v>
      </c>
      <c r="V37" s="38">
        <f>T37+U37</f>
        <v>16.409999999999968</v>
      </c>
      <c r="W37" s="32">
        <v>5.56</v>
      </c>
      <c r="X37" s="32">
        <f>V37/W37</f>
        <v>2.9514388489208576</v>
      </c>
    </row>
    <row r="38" spans="1:24" x14ac:dyDescent="0.25">
      <c r="A38" s="54">
        <v>44744</v>
      </c>
      <c r="B38" s="55">
        <v>2023.02</v>
      </c>
      <c r="C38" s="55"/>
      <c r="D38" s="55">
        <v>2007.85</v>
      </c>
      <c r="E38" s="55"/>
      <c r="F38" s="55">
        <f t="shared" ref="F38" si="11">B38+C38</f>
        <v>2023.02</v>
      </c>
      <c r="G38" s="56">
        <v>5.56</v>
      </c>
      <c r="H38" s="56">
        <f t="shared" ref="H38:H67" si="12">F38/G38</f>
        <v>363.85251798561154</v>
      </c>
      <c r="J38" s="54">
        <v>44744</v>
      </c>
      <c r="K38" s="55">
        <v>2007.85</v>
      </c>
      <c r="L38" s="55"/>
      <c r="M38" s="55"/>
      <c r="N38" s="55"/>
      <c r="O38" s="55">
        <f t="shared" ref="O38:O67" si="13">K38+L38</f>
        <v>2007.85</v>
      </c>
      <c r="P38" s="56">
        <v>5.56</v>
      </c>
      <c r="Q38" s="56">
        <f t="shared" ref="Q38:Q67" si="14">O38/P38</f>
        <v>361.12410071942446</v>
      </c>
      <c r="R38" s="56">
        <f t="shared" ref="R38:R67" si="15">Q38*2%</f>
        <v>7.2224820143884898</v>
      </c>
      <c r="T38" s="46">
        <f t="shared" ref="T38:T46" si="16">B38-D38</f>
        <v>15.170000000000073</v>
      </c>
      <c r="U38" s="57">
        <f t="shared" ref="U38:U46" si="17">C38-E38</f>
        <v>0</v>
      </c>
      <c r="V38" s="38">
        <f t="shared" ref="V38:V46" si="18">T38+U38</f>
        <v>15.170000000000073</v>
      </c>
      <c r="W38" s="32">
        <v>5.56</v>
      </c>
      <c r="X38" s="32">
        <f t="shared" ref="X38:X67" si="19">V38/W38</f>
        <v>2.7284172661870638</v>
      </c>
    </row>
    <row r="39" spans="1:24" x14ac:dyDescent="0.25">
      <c r="A39" s="54">
        <v>44745</v>
      </c>
      <c r="B39" s="55">
        <v>4306.1899999999996</v>
      </c>
      <c r="C39" s="55">
        <v>193.74</v>
      </c>
      <c r="D39" s="55">
        <v>4273.8900000000003</v>
      </c>
      <c r="E39" s="55">
        <v>180.55</v>
      </c>
      <c r="F39" s="55">
        <f>B39+C39</f>
        <v>4499.9299999999994</v>
      </c>
      <c r="G39" s="56">
        <v>5.56</v>
      </c>
      <c r="H39" s="56">
        <f t="shared" si="12"/>
        <v>809.33992805755395</v>
      </c>
      <c r="J39" s="54">
        <v>44745</v>
      </c>
      <c r="K39" s="55">
        <v>4273.8900000000003</v>
      </c>
      <c r="L39" s="55">
        <v>180.55</v>
      </c>
      <c r="M39" s="55"/>
      <c r="N39" s="55"/>
      <c r="O39" s="55">
        <f t="shared" si="13"/>
        <v>4454.4400000000005</v>
      </c>
      <c r="P39" s="56">
        <v>5.56</v>
      </c>
      <c r="Q39" s="56">
        <f t="shared" si="14"/>
        <v>801.15827338129509</v>
      </c>
      <c r="R39" s="56">
        <f t="shared" si="15"/>
        <v>16.023165467625901</v>
      </c>
      <c r="T39" s="46">
        <f t="shared" si="16"/>
        <v>32.299999999999272</v>
      </c>
      <c r="U39" s="57">
        <f t="shared" si="17"/>
        <v>13.189999999999998</v>
      </c>
      <c r="V39" s="38">
        <f t="shared" si="18"/>
        <v>45.48999999999927</v>
      </c>
      <c r="W39" s="32">
        <v>5.56</v>
      </c>
      <c r="X39" s="32">
        <f t="shared" si="19"/>
        <v>8.1816546762588622</v>
      </c>
    </row>
    <row r="40" spans="1:24" x14ac:dyDescent="0.25">
      <c r="A40" s="54">
        <v>44746</v>
      </c>
      <c r="B40" s="55">
        <v>2811.84</v>
      </c>
      <c r="C40" s="55">
        <v>30</v>
      </c>
      <c r="D40" s="55">
        <v>2790.75</v>
      </c>
      <c r="E40" s="55">
        <v>27.96</v>
      </c>
      <c r="F40" s="55">
        <f t="shared" ref="F40:F52" si="20">B40+C40</f>
        <v>2841.84</v>
      </c>
      <c r="G40" s="56">
        <v>5.56</v>
      </c>
      <c r="H40" s="56">
        <f t="shared" si="12"/>
        <v>511.12230215827344</v>
      </c>
      <c r="J40" s="54">
        <v>44746</v>
      </c>
      <c r="K40" s="55">
        <v>2790.75</v>
      </c>
      <c r="L40" s="55">
        <v>27.96</v>
      </c>
      <c r="M40" s="55"/>
      <c r="N40" s="55"/>
      <c r="O40" s="55">
        <f t="shared" si="13"/>
        <v>2818.71</v>
      </c>
      <c r="P40" s="56">
        <v>5.56</v>
      </c>
      <c r="Q40" s="56">
        <f t="shared" si="14"/>
        <v>506.96223021582739</v>
      </c>
      <c r="R40" s="56">
        <f t="shared" si="15"/>
        <v>10.139244604316549</v>
      </c>
      <c r="T40" s="46">
        <f t="shared" si="16"/>
        <v>21.090000000000146</v>
      </c>
      <c r="U40" s="57">
        <f t="shared" si="17"/>
        <v>2.0399999999999991</v>
      </c>
      <c r="V40" s="38">
        <f t="shared" si="18"/>
        <v>23.130000000000145</v>
      </c>
      <c r="W40" s="32">
        <v>5.56</v>
      </c>
      <c r="X40" s="32">
        <f t="shared" si="19"/>
        <v>4.160071942446069</v>
      </c>
    </row>
    <row r="41" spans="1:24" x14ac:dyDescent="0.25">
      <c r="A41" s="54">
        <v>44747</v>
      </c>
      <c r="B41" s="55">
        <v>4035.83</v>
      </c>
      <c r="C41" s="55">
        <v>137.54</v>
      </c>
      <c r="D41" s="55">
        <v>4005.556</v>
      </c>
      <c r="E41" s="55">
        <v>128.16999999999999</v>
      </c>
      <c r="F41" s="55">
        <f t="shared" si="20"/>
        <v>4173.37</v>
      </c>
      <c r="G41" s="56">
        <v>5.56</v>
      </c>
      <c r="H41" s="56">
        <f t="shared" si="12"/>
        <v>750.60611510791375</v>
      </c>
      <c r="J41" s="54">
        <v>44747</v>
      </c>
      <c r="K41" s="55">
        <v>4005.556</v>
      </c>
      <c r="L41" s="55">
        <v>128.16999999999999</v>
      </c>
      <c r="M41" s="55"/>
      <c r="N41" s="55"/>
      <c r="O41" s="55">
        <f t="shared" si="13"/>
        <v>4133.7259999999997</v>
      </c>
      <c r="P41" s="56">
        <v>5.56</v>
      </c>
      <c r="Q41" s="56">
        <f t="shared" si="14"/>
        <v>743.4758992805755</v>
      </c>
      <c r="R41" s="56">
        <f t="shared" si="15"/>
        <v>14.869517985611511</v>
      </c>
      <c r="T41" s="46">
        <f t="shared" si="16"/>
        <v>30.273999999999887</v>
      </c>
      <c r="U41" s="57">
        <f t="shared" si="17"/>
        <v>9.3700000000000045</v>
      </c>
      <c r="V41" s="38">
        <f t="shared" si="18"/>
        <v>39.643999999999892</v>
      </c>
      <c r="W41" s="32">
        <v>5.56</v>
      </c>
      <c r="X41" s="32">
        <f t="shared" si="19"/>
        <v>7.1302158273381107</v>
      </c>
    </row>
    <row r="42" spans="1:24" x14ac:dyDescent="0.25">
      <c r="A42" s="54">
        <v>44748</v>
      </c>
      <c r="B42" s="55">
        <v>3165.05</v>
      </c>
      <c r="C42" s="55">
        <v>13.01</v>
      </c>
      <c r="D42" s="55">
        <v>3141.31</v>
      </c>
      <c r="E42" s="55">
        <v>12.12</v>
      </c>
      <c r="F42" s="55">
        <f t="shared" si="20"/>
        <v>3178.0600000000004</v>
      </c>
      <c r="G42" s="56">
        <v>5.56</v>
      </c>
      <c r="H42" s="56">
        <f t="shared" si="12"/>
        <v>571.59352517985621</v>
      </c>
      <c r="J42" s="54">
        <v>44748</v>
      </c>
      <c r="K42" s="55">
        <v>3141.31</v>
      </c>
      <c r="L42" s="55">
        <v>12.12</v>
      </c>
      <c r="M42" s="55"/>
      <c r="N42" s="55"/>
      <c r="O42" s="55">
        <f t="shared" si="13"/>
        <v>3153.43</v>
      </c>
      <c r="P42" s="56">
        <v>5.56</v>
      </c>
      <c r="Q42" s="56">
        <f t="shared" si="14"/>
        <v>567.16366906474821</v>
      </c>
      <c r="R42" s="56">
        <f t="shared" si="15"/>
        <v>11.343273381294964</v>
      </c>
      <c r="T42" s="46">
        <f t="shared" si="16"/>
        <v>23.740000000000236</v>
      </c>
      <c r="U42" s="57">
        <f t="shared" si="17"/>
        <v>0.89000000000000057</v>
      </c>
      <c r="V42" s="38">
        <f t="shared" si="18"/>
        <v>24.630000000000237</v>
      </c>
      <c r="W42" s="32">
        <v>5.56</v>
      </c>
      <c r="X42" s="32">
        <f t="shared" si="19"/>
        <v>4.429856115107957</v>
      </c>
    </row>
    <row r="43" spans="1:24" x14ac:dyDescent="0.25">
      <c r="A43" s="54">
        <v>44749</v>
      </c>
      <c r="B43" s="55">
        <v>2904.72</v>
      </c>
      <c r="C43" s="55">
        <v>76.11</v>
      </c>
      <c r="D43" s="55">
        <v>2882.93</v>
      </c>
      <c r="E43" s="55">
        <v>70.930000000000007</v>
      </c>
      <c r="F43" s="55">
        <f t="shared" si="20"/>
        <v>2980.83</v>
      </c>
      <c r="G43" s="56">
        <v>5.57</v>
      </c>
      <c r="H43" s="56">
        <f t="shared" si="12"/>
        <v>535.15798922800718</v>
      </c>
      <c r="J43" s="54">
        <v>44749</v>
      </c>
      <c r="K43" s="55">
        <v>2882.93</v>
      </c>
      <c r="L43" s="55">
        <v>70.930000000000007</v>
      </c>
      <c r="M43" s="55"/>
      <c r="N43" s="55"/>
      <c r="O43" s="55">
        <f t="shared" si="13"/>
        <v>2953.8599999999997</v>
      </c>
      <c r="P43" s="56">
        <v>5.57</v>
      </c>
      <c r="Q43" s="56">
        <f t="shared" si="14"/>
        <v>530.31597845601425</v>
      </c>
      <c r="R43" s="56">
        <f t="shared" si="15"/>
        <v>10.606319569120286</v>
      </c>
      <c r="T43" s="46">
        <f t="shared" si="16"/>
        <v>21.789999999999964</v>
      </c>
      <c r="U43" s="57">
        <f t="shared" si="17"/>
        <v>5.1799999999999926</v>
      </c>
      <c r="V43" s="38">
        <f t="shared" si="18"/>
        <v>26.969999999999956</v>
      </c>
      <c r="W43" s="32">
        <v>5.57</v>
      </c>
      <c r="X43" s="32">
        <f t="shared" si="19"/>
        <v>4.8420107719928103</v>
      </c>
    </row>
    <row r="44" spans="1:24" x14ac:dyDescent="0.25">
      <c r="A44" s="54">
        <v>44750</v>
      </c>
      <c r="B44" s="55">
        <f>1095.57+1493.03</f>
        <v>2588.6</v>
      </c>
      <c r="C44" s="55"/>
      <c r="D44" s="55">
        <f>1087.35+1481.83</f>
        <v>2569.1799999999998</v>
      </c>
      <c r="E44" s="55"/>
      <c r="F44" s="55">
        <f t="shared" si="20"/>
        <v>2588.6</v>
      </c>
      <c r="G44" s="56">
        <v>5.61</v>
      </c>
      <c r="H44" s="56">
        <f t="shared" si="12"/>
        <v>461.42602495543667</v>
      </c>
      <c r="J44" s="54">
        <v>44750</v>
      </c>
      <c r="K44" s="55">
        <f>1087.35+1481.83</f>
        <v>2569.1799999999998</v>
      </c>
      <c r="L44" s="55"/>
      <c r="M44" s="55"/>
      <c r="N44" s="55"/>
      <c r="O44" s="55">
        <f t="shared" si="13"/>
        <v>2569.1799999999998</v>
      </c>
      <c r="P44" s="56">
        <v>5.61</v>
      </c>
      <c r="Q44" s="56">
        <f t="shared" si="14"/>
        <v>457.964349376114</v>
      </c>
      <c r="R44" s="56">
        <f t="shared" si="15"/>
        <v>9.1592869875222807</v>
      </c>
      <c r="T44" s="46">
        <f t="shared" si="16"/>
        <v>19.420000000000073</v>
      </c>
      <c r="U44" s="57">
        <f t="shared" si="17"/>
        <v>0</v>
      </c>
      <c r="V44" s="38">
        <f t="shared" si="18"/>
        <v>19.420000000000073</v>
      </c>
      <c r="W44" s="32">
        <v>5.61</v>
      </c>
      <c r="X44" s="32">
        <f t="shared" si="19"/>
        <v>3.4616755793226508</v>
      </c>
    </row>
    <row r="45" spans="1:24" x14ac:dyDescent="0.25">
      <c r="A45" s="54">
        <v>44751</v>
      </c>
      <c r="B45" s="55">
        <f>1557.4+2098.58</f>
        <v>3655.98</v>
      </c>
      <c r="C45" s="55"/>
      <c r="D45" s="55">
        <f>1545.72+2082.84</f>
        <v>3628.5600000000004</v>
      </c>
      <c r="E45" s="55"/>
      <c r="F45" s="55">
        <f t="shared" si="20"/>
        <v>3655.98</v>
      </c>
      <c r="G45" s="56">
        <v>5.61</v>
      </c>
      <c r="H45" s="56">
        <f t="shared" si="12"/>
        <v>651.68983957219245</v>
      </c>
      <c r="J45" s="54">
        <v>44751</v>
      </c>
      <c r="K45" s="55">
        <f>1545.72+2082.84</f>
        <v>3628.5600000000004</v>
      </c>
      <c r="L45" s="55"/>
      <c r="M45" s="55"/>
      <c r="N45" s="55"/>
      <c r="O45" s="55">
        <f t="shared" si="13"/>
        <v>3628.5600000000004</v>
      </c>
      <c r="P45" s="56">
        <v>5.61</v>
      </c>
      <c r="Q45" s="56">
        <f t="shared" si="14"/>
        <v>646.80213903743322</v>
      </c>
      <c r="R45" s="56">
        <f t="shared" si="15"/>
        <v>12.936042780748664</v>
      </c>
      <c r="T45" s="46">
        <f t="shared" si="16"/>
        <v>27.419999999999618</v>
      </c>
      <c r="U45" s="57">
        <f t="shared" si="17"/>
        <v>0</v>
      </c>
      <c r="V45" s="38">
        <f t="shared" si="18"/>
        <v>27.419999999999618</v>
      </c>
      <c r="W45" s="32">
        <v>5.61</v>
      </c>
      <c r="X45" s="32">
        <f t="shared" si="19"/>
        <v>4.8877005347592899</v>
      </c>
    </row>
    <row r="46" spans="1:24" x14ac:dyDescent="0.25">
      <c r="A46" s="54">
        <v>44752</v>
      </c>
      <c r="B46" s="55">
        <f>3059.99+676.27</f>
        <v>3736.2599999999998</v>
      </c>
      <c r="C46" s="55">
        <v>18.27</v>
      </c>
      <c r="D46" s="55">
        <f>3037.04+671.2</f>
        <v>3708.24</v>
      </c>
      <c r="E46" s="55">
        <v>17.03</v>
      </c>
      <c r="F46" s="55">
        <f t="shared" si="20"/>
        <v>3754.5299999999997</v>
      </c>
      <c r="G46" s="56">
        <v>5.61</v>
      </c>
      <c r="H46" s="56">
        <f t="shared" si="12"/>
        <v>669.25668449197849</v>
      </c>
      <c r="J46" s="54">
        <v>44752</v>
      </c>
      <c r="K46" s="55">
        <f>3037.04+671.2</f>
        <v>3708.24</v>
      </c>
      <c r="L46" s="55">
        <v>17.03</v>
      </c>
      <c r="M46" s="55"/>
      <c r="N46" s="55"/>
      <c r="O46" s="55">
        <f t="shared" si="13"/>
        <v>3725.27</v>
      </c>
      <c r="P46" s="56">
        <v>5.61</v>
      </c>
      <c r="Q46" s="56">
        <f t="shared" si="14"/>
        <v>664.04099821746877</v>
      </c>
      <c r="R46" s="56">
        <f t="shared" si="15"/>
        <v>13.280819964349377</v>
      </c>
      <c r="T46" s="46">
        <f t="shared" si="16"/>
        <v>28.019999999999982</v>
      </c>
      <c r="U46" s="57">
        <f t="shared" si="17"/>
        <v>1.2399999999999984</v>
      </c>
      <c r="V46" s="38">
        <f t="shared" si="18"/>
        <v>29.25999999999998</v>
      </c>
      <c r="W46" s="32">
        <v>5.61</v>
      </c>
      <c r="X46" s="32">
        <f t="shared" si="19"/>
        <v>5.2156862745098005</v>
      </c>
    </row>
    <row r="47" spans="1:24" x14ac:dyDescent="0.25">
      <c r="A47" s="54">
        <v>44753</v>
      </c>
      <c r="B47" s="55">
        <f>1588.39+784.43</f>
        <v>2372.8200000000002</v>
      </c>
      <c r="C47" s="55">
        <v>16.21</v>
      </c>
      <c r="D47" s="55">
        <f>1576.48+778.55</f>
        <v>2355.0299999999997</v>
      </c>
      <c r="E47" s="55"/>
      <c r="F47" s="55">
        <f t="shared" si="20"/>
        <v>2389.0300000000002</v>
      </c>
      <c r="G47" s="56">
        <v>5.61</v>
      </c>
      <c r="H47" s="56">
        <f t="shared" si="12"/>
        <v>425.85204991087346</v>
      </c>
      <c r="J47" s="54">
        <v>44753</v>
      </c>
      <c r="K47" s="55">
        <f>1576.48+778.55</f>
        <v>2355.0299999999997</v>
      </c>
      <c r="L47" s="55"/>
      <c r="M47" s="55"/>
      <c r="N47" s="55"/>
      <c r="O47" s="55">
        <f t="shared" si="13"/>
        <v>2355.0299999999997</v>
      </c>
      <c r="P47" s="56">
        <v>5.61</v>
      </c>
      <c r="Q47" s="56">
        <f t="shared" si="14"/>
        <v>419.79144385026729</v>
      </c>
      <c r="R47" s="56">
        <f t="shared" si="15"/>
        <v>8.3958288770053464</v>
      </c>
      <c r="T47" s="46">
        <f>B47-D47</f>
        <v>17.790000000000418</v>
      </c>
      <c r="U47" s="57">
        <f>C47-E47</f>
        <v>16.21</v>
      </c>
      <c r="V47" s="38">
        <f>T47+U47</f>
        <v>34.000000000000419</v>
      </c>
      <c r="W47" s="32">
        <v>5.61</v>
      </c>
      <c r="X47" s="32">
        <f t="shared" si="19"/>
        <v>6.0606060606061352</v>
      </c>
    </row>
    <row r="48" spans="1:24" x14ac:dyDescent="0.25">
      <c r="A48" s="54">
        <v>44754</v>
      </c>
      <c r="B48" s="55">
        <f>1774.51+1430.58</f>
        <v>3205.09</v>
      </c>
      <c r="C48" s="55">
        <v>169.05</v>
      </c>
      <c r="D48" s="55">
        <f>1761.2+1419.85</f>
        <v>3181.05</v>
      </c>
      <c r="E48" s="55">
        <v>157.54</v>
      </c>
      <c r="F48" s="55">
        <f t="shared" si="20"/>
        <v>3374.1400000000003</v>
      </c>
      <c r="G48" s="56">
        <v>5.62</v>
      </c>
      <c r="H48" s="56">
        <f t="shared" si="12"/>
        <v>600.38078291814952</v>
      </c>
      <c r="J48" s="54">
        <v>44754</v>
      </c>
      <c r="K48" s="55">
        <f>1761.2+1419.85</f>
        <v>3181.05</v>
      </c>
      <c r="L48" s="55">
        <v>157.54</v>
      </c>
      <c r="M48" s="55"/>
      <c r="N48" s="55"/>
      <c r="O48" s="55">
        <f t="shared" si="13"/>
        <v>3338.59</v>
      </c>
      <c r="P48" s="56">
        <v>5.62</v>
      </c>
      <c r="Q48" s="56">
        <f t="shared" si="14"/>
        <v>594.05516014234877</v>
      </c>
      <c r="R48" s="56">
        <f t="shared" si="15"/>
        <v>11.881103202846976</v>
      </c>
      <c r="T48" s="46">
        <f t="shared" ref="T48:T67" si="21">B48-D48</f>
        <v>24.039999999999964</v>
      </c>
      <c r="U48" s="57">
        <f t="shared" ref="U48:U67" si="22">C48-E48</f>
        <v>11.510000000000019</v>
      </c>
      <c r="V48" s="38">
        <f t="shared" ref="V48:V67" si="23">T48+U48</f>
        <v>35.549999999999983</v>
      </c>
      <c r="W48" s="32">
        <v>5.62</v>
      </c>
      <c r="X48" s="32">
        <f t="shared" si="19"/>
        <v>6.3256227758007082</v>
      </c>
    </row>
    <row r="49" spans="1:24" x14ac:dyDescent="0.25">
      <c r="A49" s="54">
        <v>44755</v>
      </c>
      <c r="B49" s="55">
        <v>3210.5</v>
      </c>
      <c r="C49" s="55">
        <v>24.95</v>
      </c>
      <c r="D49" s="55">
        <v>3186.42</v>
      </c>
      <c r="E49" s="55">
        <v>23.25</v>
      </c>
      <c r="F49" s="55">
        <f t="shared" si="20"/>
        <v>3235.45</v>
      </c>
      <c r="G49" s="56">
        <v>5.66</v>
      </c>
      <c r="H49" s="56">
        <f t="shared" si="12"/>
        <v>571.63427561837455</v>
      </c>
      <c r="J49" s="54">
        <v>44755</v>
      </c>
      <c r="K49" s="55">
        <v>3186.42</v>
      </c>
      <c r="L49" s="55">
        <v>23.25</v>
      </c>
      <c r="M49" s="55"/>
      <c r="N49" s="55"/>
      <c r="O49" s="55">
        <f t="shared" si="13"/>
        <v>3209.67</v>
      </c>
      <c r="P49" s="56">
        <v>5.66</v>
      </c>
      <c r="Q49" s="56">
        <f t="shared" si="14"/>
        <v>567.07950530035339</v>
      </c>
      <c r="R49" s="56">
        <f t="shared" si="15"/>
        <v>11.341590106007068</v>
      </c>
      <c r="T49" s="46">
        <f t="shared" si="21"/>
        <v>24.079999999999927</v>
      </c>
      <c r="U49" s="57">
        <f t="shared" si="22"/>
        <v>1.6999999999999993</v>
      </c>
      <c r="V49" s="38">
        <f t="shared" si="23"/>
        <v>25.779999999999927</v>
      </c>
      <c r="W49" s="32">
        <v>5.66</v>
      </c>
      <c r="X49" s="32">
        <f t="shared" si="19"/>
        <v>4.5547703180211885</v>
      </c>
    </row>
    <row r="50" spans="1:24" x14ac:dyDescent="0.25">
      <c r="A50" s="54">
        <v>44756</v>
      </c>
      <c r="B50" s="55">
        <v>2955.55</v>
      </c>
      <c r="C50" s="55">
        <v>106.31</v>
      </c>
      <c r="D50" s="55">
        <v>2933.38</v>
      </c>
      <c r="E50" s="55">
        <v>99.07</v>
      </c>
      <c r="F50" s="55">
        <f t="shared" si="20"/>
        <v>3061.86</v>
      </c>
      <c r="G50" s="56">
        <v>5.68</v>
      </c>
      <c r="H50" s="56">
        <f t="shared" si="12"/>
        <v>539.05985915492965</v>
      </c>
      <c r="J50" s="54">
        <v>44756</v>
      </c>
      <c r="K50" s="55">
        <v>2933.38</v>
      </c>
      <c r="L50" s="55">
        <v>99.07</v>
      </c>
      <c r="M50" s="55"/>
      <c r="N50" s="55"/>
      <c r="O50" s="55">
        <f t="shared" si="13"/>
        <v>3032.4500000000003</v>
      </c>
      <c r="P50" s="56">
        <v>5.68</v>
      </c>
      <c r="Q50" s="56">
        <f t="shared" si="14"/>
        <v>533.88204225352115</v>
      </c>
      <c r="R50" s="56">
        <f t="shared" si="15"/>
        <v>10.677640845070423</v>
      </c>
      <c r="T50" s="46">
        <f t="shared" si="21"/>
        <v>22.170000000000073</v>
      </c>
      <c r="U50" s="57">
        <f t="shared" si="22"/>
        <v>7.2400000000000091</v>
      </c>
      <c r="V50" s="38">
        <f t="shared" si="23"/>
        <v>29.410000000000082</v>
      </c>
      <c r="W50" s="32">
        <v>5.68</v>
      </c>
      <c r="X50" s="32">
        <f t="shared" si="19"/>
        <v>5.1778169014084652</v>
      </c>
    </row>
    <row r="51" spans="1:24" x14ac:dyDescent="0.25">
      <c r="A51" s="54">
        <v>44757</v>
      </c>
      <c r="B51" s="55">
        <v>2597.61</v>
      </c>
      <c r="C51" s="55"/>
      <c r="D51" s="55">
        <v>2578.13</v>
      </c>
      <c r="E51" s="55"/>
      <c r="F51" s="55">
        <f t="shared" si="20"/>
        <v>2597.61</v>
      </c>
      <c r="G51" s="56">
        <v>5.7</v>
      </c>
      <c r="H51" s="56">
        <f t="shared" si="12"/>
        <v>455.72105263157897</v>
      </c>
      <c r="J51" s="54">
        <v>44757</v>
      </c>
      <c r="K51" s="55">
        <v>2578.13</v>
      </c>
      <c r="L51" s="55"/>
      <c r="M51" s="55"/>
      <c r="N51" s="55"/>
      <c r="O51" s="55">
        <f t="shared" si="13"/>
        <v>2578.13</v>
      </c>
      <c r="P51" s="56">
        <v>5.7</v>
      </c>
      <c r="Q51" s="56">
        <f t="shared" si="14"/>
        <v>452.30350877192984</v>
      </c>
      <c r="R51" s="56">
        <f t="shared" si="15"/>
        <v>9.0460701754385973</v>
      </c>
      <c r="T51" s="46">
        <f t="shared" si="21"/>
        <v>19.480000000000018</v>
      </c>
      <c r="U51" s="57">
        <f t="shared" si="22"/>
        <v>0</v>
      </c>
      <c r="V51" s="38">
        <f t="shared" si="23"/>
        <v>19.480000000000018</v>
      </c>
      <c r="W51" s="32">
        <v>5.7</v>
      </c>
      <c r="X51" s="32">
        <f t="shared" si="19"/>
        <v>3.4175438596491259</v>
      </c>
    </row>
    <row r="52" spans="1:24" x14ac:dyDescent="0.25">
      <c r="A52" s="54">
        <v>44758</v>
      </c>
      <c r="B52" s="55">
        <v>4249.96</v>
      </c>
      <c r="C52" s="55">
        <v>91.34</v>
      </c>
      <c r="D52" s="55">
        <v>4218.09</v>
      </c>
      <c r="E52" s="55">
        <v>85.12</v>
      </c>
      <c r="F52" s="55">
        <f t="shared" si="20"/>
        <v>4341.3</v>
      </c>
      <c r="G52" s="56">
        <v>5.7</v>
      </c>
      <c r="H52" s="56">
        <f t="shared" si="12"/>
        <v>761.63157894736844</v>
      </c>
      <c r="J52" s="54">
        <v>44758</v>
      </c>
      <c r="K52" s="55">
        <v>4218.09</v>
      </c>
      <c r="L52" s="55">
        <v>85.12</v>
      </c>
      <c r="M52" s="55"/>
      <c r="N52" s="55"/>
      <c r="O52" s="55">
        <f t="shared" si="13"/>
        <v>4303.21</v>
      </c>
      <c r="P52" s="56">
        <v>5.7</v>
      </c>
      <c r="Q52" s="56">
        <f t="shared" si="14"/>
        <v>754.94912280701749</v>
      </c>
      <c r="R52" s="56">
        <f t="shared" si="15"/>
        <v>15.09898245614035</v>
      </c>
      <c r="T52" s="46">
        <f t="shared" si="21"/>
        <v>31.869999999999891</v>
      </c>
      <c r="U52" s="57">
        <f t="shared" si="22"/>
        <v>6.2199999999999989</v>
      </c>
      <c r="V52" s="38">
        <f t="shared" si="23"/>
        <v>38.08999999999989</v>
      </c>
      <c r="W52" s="32">
        <v>5.7</v>
      </c>
      <c r="X52" s="32">
        <f t="shared" si="19"/>
        <v>6.6824561403508573</v>
      </c>
    </row>
    <row r="53" spans="1:24" x14ac:dyDescent="0.25">
      <c r="A53" s="54">
        <v>44759</v>
      </c>
      <c r="B53" s="55">
        <f>1526.72+918.35</f>
        <v>2445.0700000000002</v>
      </c>
      <c r="C53" s="55"/>
      <c r="D53" s="55">
        <f>1515.27+911.46</f>
        <v>2426.73</v>
      </c>
      <c r="E53" s="55"/>
      <c r="F53" s="55">
        <f>B53+C53</f>
        <v>2445.0700000000002</v>
      </c>
      <c r="G53" s="56">
        <v>5.7</v>
      </c>
      <c r="H53" s="56">
        <f t="shared" si="12"/>
        <v>428.95964912280704</v>
      </c>
      <c r="J53" s="54">
        <v>44759</v>
      </c>
      <c r="K53" s="55">
        <f>1515.27+911.46</f>
        <v>2426.73</v>
      </c>
      <c r="L53" s="55"/>
      <c r="M53" s="55"/>
      <c r="N53" s="55"/>
      <c r="O53" s="55">
        <f t="shared" si="13"/>
        <v>2426.73</v>
      </c>
      <c r="P53" s="56">
        <v>5.7</v>
      </c>
      <c r="Q53" s="56">
        <f t="shared" si="14"/>
        <v>425.7421052631579</v>
      </c>
      <c r="R53" s="56">
        <f t="shared" si="15"/>
        <v>8.514842105263158</v>
      </c>
      <c r="T53" s="46">
        <f t="shared" si="21"/>
        <v>18.340000000000146</v>
      </c>
      <c r="U53" s="57">
        <f t="shared" si="22"/>
        <v>0</v>
      </c>
      <c r="V53" s="38">
        <f t="shared" si="23"/>
        <v>18.340000000000146</v>
      </c>
      <c r="W53" s="32">
        <v>5.7</v>
      </c>
      <c r="X53" s="32">
        <f t="shared" si="19"/>
        <v>3.2175438596491484</v>
      </c>
    </row>
    <row r="54" spans="1:24" x14ac:dyDescent="0.25">
      <c r="A54" s="54">
        <v>44760</v>
      </c>
      <c r="B54" s="55">
        <f>239.69+2089.04</f>
        <v>2328.73</v>
      </c>
      <c r="C54" s="55">
        <v>156.81</v>
      </c>
      <c r="D54" s="55">
        <f>237.89+2073.37</f>
        <v>2311.2599999999998</v>
      </c>
      <c r="E54" s="55">
        <v>146.13</v>
      </c>
      <c r="F54" s="55">
        <f t="shared" ref="F54:F67" si="24">B54+C54</f>
        <v>2485.54</v>
      </c>
      <c r="G54" s="56">
        <v>5.7</v>
      </c>
      <c r="H54" s="56">
        <f t="shared" si="12"/>
        <v>436.059649122807</v>
      </c>
      <c r="J54" s="54">
        <v>44760</v>
      </c>
      <c r="K54" s="55">
        <f>237.89+2073.37</f>
        <v>2311.2599999999998</v>
      </c>
      <c r="L54" s="55">
        <v>146.13</v>
      </c>
      <c r="M54" s="55"/>
      <c r="N54" s="55"/>
      <c r="O54" s="55">
        <f t="shared" si="13"/>
        <v>2457.39</v>
      </c>
      <c r="P54" s="56">
        <v>5.7</v>
      </c>
      <c r="Q54" s="56">
        <f t="shared" si="14"/>
        <v>431.12105263157889</v>
      </c>
      <c r="R54" s="56">
        <f t="shared" si="15"/>
        <v>8.6224210526315783</v>
      </c>
      <c r="T54" s="46">
        <f t="shared" si="21"/>
        <v>17.470000000000255</v>
      </c>
      <c r="U54" s="57">
        <f t="shared" si="22"/>
        <v>10.680000000000007</v>
      </c>
      <c r="V54" s="38">
        <f t="shared" si="23"/>
        <v>28.150000000000261</v>
      </c>
      <c r="W54" s="32">
        <v>5.7</v>
      </c>
      <c r="X54" s="32">
        <f t="shared" si="19"/>
        <v>4.9385964912281155</v>
      </c>
    </row>
    <row r="55" spans="1:24" x14ac:dyDescent="0.25">
      <c r="A55" s="54">
        <v>44761</v>
      </c>
      <c r="B55" s="55">
        <f>600.55+1454.87</f>
        <v>2055.42</v>
      </c>
      <c r="C55" s="55">
        <v>118.7</v>
      </c>
      <c r="D55" s="55">
        <f>596.05+1443.96</f>
        <v>2040.01</v>
      </c>
      <c r="E55" s="55">
        <v>110.62</v>
      </c>
      <c r="F55" s="55">
        <f t="shared" si="24"/>
        <v>2174.12</v>
      </c>
      <c r="G55" s="56">
        <v>5.7</v>
      </c>
      <c r="H55" s="56">
        <f t="shared" si="12"/>
        <v>381.42456140350873</v>
      </c>
      <c r="J55" s="54">
        <v>44761</v>
      </c>
      <c r="K55" s="55">
        <f>596.05+1443.96</f>
        <v>2040.01</v>
      </c>
      <c r="L55" s="55">
        <v>110.62</v>
      </c>
      <c r="M55" s="55"/>
      <c r="N55" s="55"/>
      <c r="O55" s="55">
        <f t="shared" si="13"/>
        <v>2150.63</v>
      </c>
      <c r="P55" s="56">
        <v>5.7</v>
      </c>
      <c r="Q55" s="56">
        <f t="shared" si="14"/>
        <v>377.30350877192984</v>
      </c>
      <c r="R55" s="56">
        <f t="shared" si="15"/>
        <v>7.5460701754385973</v>
      </c>
      <c r="T55" s="46">
        <f t="shared" si="21"/>
        <v>15.410000000000082</v>
      </c>
      <c r="U55" s="57">
        <f t="shared" si="22"/>
        <v>8.0799999999999983</v>
      </c>
      <c r="V55" s="38">
        <f t="shared" si="23"/>
        <v>23.49000000000008</v>
      </c>
      <c r="W55" s="32">
        <v>5.7</v>
      </c>
      <c r="X55" s="32">
        <f t="shared" si="19"/>
        <v>4.1210526315789613</v>
      </c>
    </row>
    <row r="56" spans="1:24" x14ac:dyDescent="0.25">
      <c r="A56" s="54">
        <v>44762</v>
      </c>
      <c r="B56" s="55">
        <v>798.23</v>
      </c>
      <c r="C56" s="55"/>
      <c r="D56" s="55">
        <v>792.24</v>
      </c>
      <c r="E56" s="55"/>
      <c r="F56" s="55">
        <f t="shared" si="24"/>
        <v>798.23</v>
      </c>
      <c r="G56" s="56">
        <v>5.7</v>
      </c>
      <c r="H56" s="56">
        <f t="shared" si="12"/>
        <v>140.04035087719299</v>
      </c>
      <c r="J56" s="54">
        <v>44762</v>
      </c>
      <c r="K56" s="55">
        <v>792.24</v>
      </c>
      <c r="L56" s="55"/>
      <c r="M56" s="55"/>
      <c r="N56" s="55"/>
      <c r="O56" s="55">
        <f t="shared" si="13"/>
        <v>792.24</v>
      </c>
      <c r="P56" s="56">
        <v>5.7</v>
      </c>
      <c r="Q56" s="56">
        <f t="shared" si="14"/>
        <v>138.98947368421054</v>
      </c>
      <c r="R56" s="56">
        <f t="shared" si="15"/>
        <v>2.7797894736842106</v>
      </c>
      <c r="T56" s="46">
        <f t="shared" si="21"/>
        <v>5.9900000000000091</v>
      </c>
      <c r="U56" s="57">
        <f t="shared" si="22"/>
        <v>0</v>
      </c>
      <c r="V56" s="38">
        <f t="shared" si="23"/>
        <v>5.9900000000000091</v>
      </c>
      <c r="W56" s="32">
        <v>5.7</v>
      </c>
      <c r="X56" s="32">
        <f t="shared" si="19"/>
        <v>1.0508771929824576</v>
      </c>
    </row>
    <row r="57" spans="1:24" x14ac:dyDescent="0.25">
      <c r="A57" s="54">
        <v>44763</v>
      </c>
      <c r="B57" s="55">
        <f>1037.51+860.89</f>
        <v>1898.4</v>
      </c>
      <c r="C57" s="55">
        <v>129.55000000000001</v>
      </c>
      <c r="D57" s="55">
        <f>1029.73+854.43</f>
        <v>1884.1599999999999</v>
      </c>
      <c r="E57" s="55">
        <v>120.73</v>
      </c>
      <c r="F57" s="55">
        <f t="shared" si="24"/>
        <v>2027.95</v>
      </c>
      <c r="G57" s="56">
        <v>5.73</v>
      </c>
      <c r="H57" s="56">
        <f t="shared" si="12"/>
        <v>353.91797556719018</v>
      </c>
      <c r="J57" s="54">
        <v>44763</v>
      </c>
      <c r="K57" s="55">
        <f>1029.73+854.43</f>
        <v>1884.1599999999999</v>
      </c>
      <c r="L57" s="55">
        <v>120.73</v>
      </c>
      <c r="M57" s="55"/>
      <c r="N57" s="55"/>
      <c r="O57" s="55">
        <f t="shared" si="13"/>
        <v>2004.8899999999999</v>
      </c>
      <c r="P57" s="56">
        <v>5.73</v>
      </c>
      <c r="Q57" s="56">
        <f t="shared" si="14"/>
        <v>349.89354275741704</v>
      </c>
      <c r="R57" s="56">
        <f t="shared" si="15"/>
        <v>6.9978708551483413</v>
      </c>
      <c r="T57" s="46">
        <f t="shared" si="21"/>
        <v>14.240000000000236</v>
      </c>
      <c r="U57" s="57">
        <f t="shared" si="22"/>
        <v>8.8200000000000074</v>
      </c>
      <c r="V57" s="38">
        <f t="shared" si="23"/>
        <v>23.060000000000244</v>
      </c>
      <c r="W57" s="32">
        <v>5.73</v>
      </c>
      <c r="X57" s="32">
        <f t="shared" si="19"/>
        <v>4.0244328097731659</v>
      </c>
    </row>
    <row r="58" spans="1:24" x14ac:dyDescent="0.25">
      <c r="A58" s="54">
        <v>44764</v>
      </c>
      <c r="B58" s="55">
        <f>400.11+2279.18</f>
        <v>2679.29</v>
      </c>
      <c r="C58" s="55"/>
      <c r="D58" s="55">
        <f>397.11+2262.09</f>
        <v>2659.2000000000003</v>
      </c>
      <c r="E58" s="55"/>
      <c r="F58" s="55">
        <f t="shared" si="24"/>
        <v>2679.29</v>
      </c>
      <c r="G58" s="56">
        <v>5.73</v>
      </c>
      <c r="H58" s="56">
        <f t="shared" si="12"/>
        <v>467.58987783595109</v>
      </c>
      <c r="J58" s="54">
        <v>44764</v>
      </c>
      <c r="K58" s="55">
        <f>397.11+2262.09</f>
        <v>2659.2000000000003</v>
      </c>
      <c r="L58" s="55"/>
      <c r="M58" s="55"/>
      <c r="N58" s="55"/>
      <c r="O58" s="55">
        <f t="shared" si="13"/>
        <v>2659.2000000000003</v>
      </c>
      <c r="P58" s="56">
        <v>5.73</v>
      </c>
      <c r="Q58" s="56">
        <f t="shared" si="14"/>
        <v>464.08376963350787</v>
      </c>
      <c r="R58" s="56">
        <f t="shared" si="15"/>
        <v>9.2816753926701576</v>
      </c>
      <c r="T58" s="46">
        <f t="shared" si="21"/>
        <v>20.089999999999691</v>
      </c>
      <c r="U58" s="57">
        <f t="shared" si="22"/>
        <v>0</v>
      </c>
      <c r="V58" s="38">
        <f t="shared" si="23"/>
        <v>20.089999999999691</v>
      </c>
      <c r="W58" s="32">
        <v>5.73</v>
      </c>
      <c r="X58" s="32">
        <f t="shared" si="19"/>
        <v>3.5061082024432269</v>
      </c>
    </row>
    <row r="59" spans="1:24" x14ac:dyDescent="0.25">
      <c r="A59" s="54">
        <v>44765</v>
      </c>
      <c r="B59" s="55">
        <f>2505.42+2655.27</f>
        <v>5160.6900000000005</v>
      </c>
      <c r="C59" s="55">
        <v>25.13</v>
      </c>
      <c r="D59" s="55">
        <f>2486.63+2635.36</f>
        <v>5121.99</v>
      </c>
      <c r="E59" s="55">
        <v>23.42</v>
      </c>
      <c r="F59" s="55">
        <f t="shared" si="24"/>
        <v>5185.8200000000006</v>
      </c>
      <c r="G59" s="56">
        <v>5.73</v>
      </c>
      <c r="H59" s="56">
        <f t="shared" si="12"/>
        <v>905.02966841186742</v>
      </c>
      <c r="J59" s="54">
        <v>44765</v>
      </c>
      <c r="K59" s="55">
        <f>2486.63+2635.36</f>
        <v>5121.99</v>
      </c>
      <c r="L59" s="55">
        <v>23.42</v>
      </c>
      <c r="M59" s="55"/>
      <c r="N59" s="55"/>
      <c r="O59" s="55">
        <f t="shared" si="13"/>
        <v>5145.41</v>
      </c>
      <c r="P59" s="56">
        <v>5.73</v>
      </c>
      <c r="Q59" s="56">
        <f t="shared" si="14"/>
        <v>897.97731239092491</v>
      </c>
      <c r="R59" s="56">
        <f t="shared" si="15"/>
        <v>17.959546247818498</v>
      </c>
      <c r="T59" s="46">
        <f t="shared" si="21"/>
        <v>38.700000000000728</v>
      </c>
      <c r="U59" s="57">
        <f t="shared" si="22"/>
        <v>1.7099999999999973</v>
      </c>
      <c r="V59" s="38">
        <f t="shared" si="23"/>
        <v>40.410000000000721</v>
      </c>
      <c r="W59" s="51">
        <v>5.73</v>
      </c>
      <c r="X59" s="32">
        <f t="shared" si="19"/>
        <v>7.0523560209425336</v>
      </c>
    </row>
    <row r="60" spans="1:24" x14ac:dyDescent="0.25">
      <c r="A60" s="54">
        <v>44766</v>
      </c>
      <c r="B60" s="55">
        <f>1798.62+1792.14</f>
        <v>3590.76</v>
      </c>
      <c r="C60" s="55">
        <f>146.97+330.86</f>
        <v>477.83000000000004</v>
      </c>
      <c r="D60" s="55">
        <f>1785.13+1778.7</f>
        <v>3563.83</v>
      </c>
      <c r="E60" s="55">
        <f>136.96+308.33</f>
        <v>445.28999999999996</v>
      </c>
      <c r="F60" s="55">
        <f t="shared" si="24"/>
        <v>4068.59</v>
      </c>
      <c r="G60" s="56">
        <v>5.73</v>
      </c>
      <c r="H60" s="56">
        <f t="shared" si="12"/>
        <v>710.05061082024429</v>
      </c>
      <c r="J60" s="54">
        <v>44766</v>
      </c>
      <c r="K60" s="55">
        <f>1785.13+1778.7</f>
        <v>3563.83</v>
      </c>
      <c r="L60" s="55">
        <f>136.96+308.33</f>
        <v>445.28999999999996</v>
      </c>
      <c r="M60" s="55"/>
      <c r="N60" s="55"/>
      <c r="O60" s="55">
        <f t="shared" si="13"/>
        <v>4009.12</v>
      </c>
      <c r="P60" s="56">
        <v>5.73</v>
      </c>
      <c r="Q60" s="56">
        <f t="shared" si="14"/>
        <v>699.67190226876085</v>
      </c>
      <c r="R60" s="56">
        <f t="shared" si="15"/>
        <v>13.993438045375218</v>
      </c>
      <c r="T60" s="46">
        <f t="shared" si="21"/>
        <v>26.930000000000291</v>
      </c>
      <c r="U60" s="57">
        <f t="shared" si="22"/>
        <v>32.540000000000077</v>
      </c>
      <c r="V60" s="38">
        <f t="shared" si="23"/>
        <v>59.470000000000368</v>
      </c>
      <c r="W60" s="51">
        <v>5.73</v>
      </c>
      <c r="X60" s="32">
        <f t="shared" si="19"/>
        <v>10.378708551483484</v>
      </c>
    </row>
    <row r="61" spans="1:24" x14ac:dyDescent="0.25">
      <c r="A61" s="54">
        <v>44767</v>
      </c>
      <c r="B61" s="55">
        <f>771.21+2455.46</f>
        <v>3226.67</v>
      </c>
      <c r="C61" s="55"/>
      <c r="D61" s="55">
        <f>765.43+2437.04</f>
        <v>3202.47</v>
      </c>
      <c r="E61" s="55"/>
      <c r="F61" s="55">
        <f t="shared" si="24"/>
        <v>3226.67</v>
      </c>
      <c r="G61" s="56">
        <v>5.73</v>
      </c>
      <c r="H61" s="56">
        <f t="shared" si="12"/>
        <v>563.11867364746945</v>
      </c>
      <c r="J61" s="54">
        <v>44767</v>
      </c>
      <c r="K61" s="55">
        <f>765.43+2437.04</f>
        <v>3202.47</v>
      </c>
      <c r="L61" s="55"/>
      <c r="M61" s="55"/>
      <c r="N61" s="55"/>
      <c r="O61" s="55">
        <f t="shared" si="13"/>
        <v>3202.47</v>
      </c>
      <c r="P61" s="56">
        <v>5.73</v>
      </c>
      <c r="Q61" s="56">
        <f t="shared" si="14"/>
        <v>558.89528795811509</v>
      </c>
      <c r="R61" s="56">
        <f t="shared" si="15"/>
        <v>11.177905759162302</v>
      </c>
      <c r="T61" s="46">
        <f t="shared" si="21"/>
        <v>24.200000000000273</v>
      </c>
      <c r="U61" s="57">
        <f t="shared" si="22"/>
        <v>0</v>
      </c>
      <c r="V61" s="38">
        <f t="shared" si="23"/>
        <v>24.200000000000273</v>
      </c>
      <c r="W61" s="51">
        <v>5.73</v>
      </c>
      <c r="X61" s="32">
        <f t="shared" si="19"/>
        <v>4.2233856893543233</v>
      </c>
    </row>
    <row r="62" spans="1:24" x14ac:dyDescent="0.25">
      <c r="A62" s="54">
        <v>44768</v>
      </c>
      <c r="B62" s="55">
        <f>347.45+1906.33</f>
        <v>2253.7799999999997</v>
      </c>
      <c r="C62" s="55">
        <v>67.52</v>
      </c>
      <c r="D62" s="55">
        <f>344.84+1892.03</f>
        <v>2236.87</v>
      </c>
      <c r="E62" s="55">
        <v>62.92</v>
      </c>
      <c r="F62" s="55">
        <f t="shared" si="24"/>
        <v>2321.2999999999997</v>
      </c>
      <c r="G62" s="56">
        <v>5.73</v>
      </c>
      <c r="H62" s="56">
        <f t="shared" si="12"/>
        <v>405.11343804537512</v>
      </c>
      <c r="J62" s="54">
        <v>44768</v>
      </c>
      <c r="K62" s="55">
        <f>344.84+1892.03</f>
        <v>2236.87</v>
      </c>
      <c r="L62" s="55">
        <v>62.92</v>
      </c>
      <c r="M62" s="55"/>
      <c r="N62" s="55"/>
      <c r="O62" s="55">
        <f t="shared" si="13"/>
        <v>2299.79</v>
      </c>
      <c r="P62" s="56">
        <v>5.73</v>
      </c>
      <c r="Q62" s="56">
        <f t="shared" si="14"/>
        <v>401.35951134380451</v>
      </c>
      <c r="R62" s="56">
        <f t="shared" si="15"/>
        <v>8.0271902268760904</v>
      </c>
      <c r="T62" s="46">
        <f t="shared" si="21"/>
        <v>16.909999999999854</v>
      </c>
      <c r="U62" s="57">
        <f t="shared" si="22"/>
        <v>4.5999999999999943</v>
      </c>
      <c r="V62" s="38">
        <f t="shared" si="23"/>
        <v>21.509999999999849</v>
      </c>
      <c r="W62" s="51">
        <v>5.73</v>
      </c>
      <c r="X62" s="32">
        <f t="shared" si="19"/>
        <v>3.7539267015706539</v>
      </c>
    </row>
    <row r="63" spans="1:24" x14ac:dyDescent="0.25">
      <c r="A63" s="54">
        <v>44769</v>
      </c>
      <c r="B63" s="55">
        <f>746.4</f>
        <v>746.4</v>
      </c>
      <c r="C63" s="55">
        <v>15.01</v>
      </c>
      <c r="D63" s="55">
        <v>740.8</v>
      </c>
      <c r="E63" s="55">
        <v>13.99</v>
      </c>
      <c r="F63" s="55">
        <f t="shared" si="24"/>
        <v>761.41</v>
      </c>
      <c r="G63" s="56">
        <v>5.75</v>
      </c>
      <c r="H63" s="56">
        <f t="shared" si="12"/>
        <v>132.4191304347826</v>
      </c>
      <c r="J63" s="54">
        <v>44769</v>
      </c>
      <c r="K63" s="55">
        <v>740.8</v>
      </c>
      <c r="L63" s="55">
        <v>13.99</v>
      </c>
      <c r="M63" s="55"/>
      <c r="N63" s="55"/>
      <c r="O63" s="55">
        <f t="shared" si="13"/>
        <v>754.79</v>
      </c>
      <c r="P63" s="56">
        <v>5.75</v>
      </c>
      <c r="Q63" s="56">
        <f t="shared" si="14"/>
        <v>131.26782608695652</v>
      </c>
      <c r="R63" s="56">
        <f t="shared" si="15"/>
        <v>2.6253565217391306</v>
      </c>
      <c r="T63" s="46">
        <f t="shared" si="21"/>
        <v>5.6000000000000227</v>
      </c>
      <c r="U63" s="57">
        <f t="shared" si="22"/>
        <v>1.0199999999999996</v>
      </c>
      <c r="V63" s="38">
        <f t="shared" si="23"/>
        <v>6.6200000000000223</v>
      </c>
      <c r="W63">
        <v>5.75</v>
      </c>
      <c r="X63" s="32">
        <f t="shared" si="19"/>
        <v>1.1513043478260909</v>
      </c>
    </row>
    <row r="64" spans="1:24" x14ac:dyDescent="0.25">
      <c r="A64" s="54">
        <v>44770</v>
      </c>
      <c r="B64" s="55">
        <f>1124.11+1328.67</f>
        <v>2452.7799999999997</v>
      </c>
      <c r="C64" s="55"/>
      <c r="D64" s="55">
        <f>1115.68+1318.7</f>
        <v>2434.38</v>
      </c>
      <c r="E64" s="55"/>
      <c r="F64" s="55">
        <f t="shared" si="24"/>
        <v>2452.7799999999997</v>
      </c>
      <c r="G64" s="56">
        <v>5.78</v>
      </c>
      <c r="H64" s="56">
        <f t="shared" si="12"/>
        <v>424.35640138408297</v>
      </c>
      <c r="J64" s="54">
        <v>44770</v>
      </c>
      <c r="K64" s="55">
        <f>1115.68+1318.7</f>
        <v>2434.38</v>
      </c>
      <c r="L64" s="55"/>
      <c r="M64" s="55"/>
      <c r="N64" s="55"/>
      <c r="O64" s="55">
        <f t="shared" si="13"/>
        <v>2434.38</v>
      </c>
      <c r="P64" s="56">
        <v>5.78</v>
      </c>
      <c r="Q64" s="56">
        <f t="shared" si="14"/>
        <v>421.17301038062283</v>
      </c>
      <c r="R64" s="56">
        <f t="shared" si="15"/>
        <v>8.4234602076124574</v>
      </c>
      <c r="T64" s="46">
        <f t="shared" si="21"/>
        <v>18.399999999999636</v>
      </c>
      <c r="U64" s="57">
        <f t="shared" si="22"/>
        <v>0</v>
      </c>
      <c r="V64" s="38">
        <f t="shared" si="23"/>
        <v>18.399999999999636</v>
      </c>
      <c r="W64">
        <v>5.78</v>
      </c>
      <c r="X64" s="32">
        <f t="shared" si="19"/>
        <v>3.1833910034601445</v>
      </c>
    </row>
    <row r="65" spans="1:25" x14ac:dyDescent="0.25">
      <c r="A65" s="54">
        <v>44771</v>
      </c>
      <c r="B65" s="55">
        <f>1919.51+2004.08</f>
        <v>3923.59</v>
      </c>
      <c r="C65" s="55">
        <v>52.32</v>
      </c>
      <c r="D65" s="55">
        <f>1905.11+1989.05</f>
        <v>3894.16</v>
      </c>
      <c r="E65" s="55">
        <v>48.76</v>
      </c>
      <c r="F65" s="55">
        <f t="shared" si="24"/>
        <v>3975.9100000000003</v>
      </c>
      <c r="G65" s="56">
        <v>5.78</v>
      </c>
      <c r="H65" s="56">
        <f t="shared" si="12"/>
        <v>687.87370242214536</v>
      </c>
      <c r="J65" s="54">
        <v>44771</v>
      </c>
      <c r="K65" s="55">
        <f>1905.11+1989.05</f>
        <v>3894.16</v>
      </c>
      <c r="L65" s="55">
        <v>48.76</v>
      </c>
      <c r="M65" s="55"/>
      <c r="N65" s="55"/>
      <c r="O65" s="55">
        <f t="shared" si="13"/>
        <v>3942.92</v>
      </c>
      <c r="P65" s="56">
        <v>5.78</v>
      </c>
      <c r="Q65" s="56">
        <f t="shared" si="14"/>
        <v>682.16608996539787</v>
      </c>
      <c r="R65" s="56">
        <f t="shared" si="15"/>
        <v>13.643321799307957</v>
      </c>
      <c r="T65" s="46">
        <f t="shared" si="21"/>
        <v>29.430000000000291</v>
      </c>
      <c r="U65" s="57">
        <f t="shared" si="22"/>
        <v>3.5600000000000023</v>
      </c>
      <c r="V65" s="38">
        <f t="shared" si="23"/>
        <v>32.990000000000293</v>
      </c>
      <c r="W65">
        <v>5.78</v>
      </c>
      <c r="X65" s="32">
        <f t="shared" si="19"/>
        <v>5.7076124567474551</v>
      </c>
    </row>
    <row r="66" spans="1:25" x14ac:dyDescent="0.25">
      <c r="A66" s="54">
        <v>44772</v>
      </c>
      <c r="B66" s="55">
        <f>2530.63+1926.91</f>
        <v>4457.54</v>
      </c>
      <c r="C66" s="55">
        <v>3.47</v>
      </c>
      <c r="D66" s="55">
        <f>2511.65+1912.46</f>
        <v>4424.1100000000006</v>
      </c>
      <c r="E66" s="55">
        <v>3.23</v>
      </c>
      <c r="F66" s="55">
        <f t="shared" si="24"/>
        <v>4461.01</v>
      </c>
      <c r="G66" s="56">
        <v>5.79</v>
      </c>
      <c r="H66" s="56">
        <f t="shared" si="12"/>
        <v>770.46804835924013</v>
      </c>
      <c r="J66" s="54">
        <v>44772</v>
      </c>
      <c r="K66" s="55">
        <v>4424.1100000000006</v>
      </c>
      <c r="L66" s="55">
        <v>3.23</v>
      </c>
      <c r="M66" s="55"/>
      <c r="N66" s="55"/>
      <c r="O66" s="55">
        <f t="shared" si="13"/>
        <v>4427.34</v>
      </c>
      <c r="P66" s="56">
        <v>5.79</v>
      </c>
      <c r="Q66" s="56">
        <f t="shared" si="14"/>
        <v>764.65284974093265</v>
      </c>
      <c r="R66" s="56">
        <f t="shared" si="15"/>
        <v>15.293056994818654</v>
      </c>
      <c r="T66" s="46">
        <f t="shared" si="21"/>
        <v>33.429999999999382</v>
      </c>
      <c r="U66" s="57">
        <f t="shared" si="22"/>
        <v>0.24000000000000021</v>
      </c>
      <c r="V66" s="38">
        <f t="shared" si="23"/>
        <v>33.669999999999384</v>
      </c>
      <c r="W66">
        <v>5.79</v>
      </c>
      <c r="X66" s="32">
        <f t="shared" si="19"/>
        <v>5.8151986183073197</v>
      </c>
    </row>
    <row r="67" spans="1:25" x14ac:dyDescent="0.25">
      <c r="A67" s="54">
        <v>44773</v>
      </c>
      <c r="B67" s="50">
        <f>1952.53+1029.28</f>
        <v>2981.81</v>
      </c>
      <c r="C67" s="50">
        <v>7.2</v>
      </c>
      <c r="D67" s="50">
        <f>1937.89+1021.56</f>
        <v>2959.45</v>
      </c>
      <c r="E67" s="50">
        <v>6.71</v>
      </c>
      <c r="F67" s="55">
        <f t="shared" si="24"/>
        <v>2989.0099999999998</v>
      </c>
      <c r="G67" s="56">
        <v>5.79</v>
      </c>
      <c r="H67" s="56">
        <f t="shared" si="12"/>
        <v>516.23661485319508</v>
      </c>
      <c r="J67" s="54">
        <v>44773</v>
      </c>
      <c r="K67" s="50">
        <v>2959.45</v>
      </c>
      <c r="L67" s="50">
        <v>6.71</v>
      </c>
      <c r="M67" s="50"/>
      <c r="N67" s="50"/>
      <c r="O67" s="55">
        <f t="shared" si="13"/>
        <v>2966.16</v>
      </c>
      <c r="P67" s="56">
        <v>5.79</v>
      </c>
      <c r="Q67" s="56">
        <f t="shared" si="14"/>
        <v>512.29015544041442</v>
      </c>
      <c r="R67" s="56">
        <f t="shared" si="15"/>
        <v>10.245803108808289</v>
      </c>
      <c r="T67" s="46">
        <f t="shared" si="21"/>
        <v>22.360000000000127</v>
      </c>
      <c r="U67" s="57">
        <f t="shared" si="22"/>
        <v>0.49000000000000021</v>
      </c>
      <c r="V67" s="38">
        <f t="shared" si="23"/>
        <v>22.850000000000129</v>
      </c>
      <c r="W67">
        <v>5.79</v>
      </c>
      <c r="X67" s="32">
        <f t="shared" si="19"/>
        <v>3.9464594127806785</v>
      </c>
    </row>
    <row r="68" spans="1:25" x14ac:dyDescent="0.25">
      <c r="A68" s="2"/>
      <c r="B68" s="11"/>
      <c r="C68" s="11"/>
      <c r="D68" s="11"/>
      <c r="E68" s="11"/>
      <c r="F68" s="43">
        <f t="shared" ref="F68:F71" si="25">B68+C68</f>
        <v>0</v>
      </c>
      <c r="G68" s="44"/>
      <c r="H68" s="11"/>
      <c r="J68" s="2"/>
      <c r="K68" s="11"/>
      <c r="L68" s="11"/>
      <c r="M68" s="11"/>
      <c r="N68" s="11"/>
      <c r="O68" s="43">
        <f t="shared" ref="O68:O71" si="26">K68+L68</f>
        <v>0</v>
      </c>
      <c r="P68" s="44">
        <v>5.78</v>
      </c>
      <c r="Q68" s="11">
        <f t="shared" ref="Q68:Q71" si="27">O68/P68</f>
        <v>0</v>
      </c>
      <c r="R68" s="12">
        <f t="shared" ref="R68:R71" si="28">Q68*2%</f>
        <v>0</v>
      </c>
      <c r="S68" s="45">
        <f t="shared" ref="S68:S70" si="29">B68-D68</f>
        <v>0</v>
      </c>
      <c r="T68" s="45">
        <f t="shared" ref="T68:T71" si="30">C68-E68</f>
        <v>0</v>
      </c>
      <c r="U68" s="45">
        <f t="shared" ref="U68:U71" si="31">S68+T68</f>
        <v>0</v>
      </c>
      <c r="V68" s="46">
        <v>5.78</v>
      </c>
      <c r="W68" s="46">
        <f t="shared" ref="W68:W71" si="32">U68/V68</f>
        <v>0</v>
      </c>
      <c r="X68" s="45"/>
    </row>
    <row r="69" spans="1:25" x14ac:dyDescent="0.25">
      <c r="A69" s="2"/>
      <c r="B69" s="11"/>
      <c r="C69" s="11"/>
      <c r="D69" s="11"/>
      <c r="E69" s="11"/>
      <c r="F69" s="43">
        <f t="shared" si="25"/>
        <v>0</v>
      </c>
      <c r="G69" s="44"/>
      <c r="H69" s="11"/>
      <c r="J69" s="2"/>
      <c r="K69" s="11"/>
      <c r="L69" s="11"/>
      <c r="M69" s="11"/>
      <c r="N69" s="11"/>
      <c r="O69" s="43">
        <f t="shared" si="26"/>
        <v>0</v>
      </c>
      <c r="P69" s="44">
        <v>5.78</v>
      </c>
      <c r="Q69" s="11">
        <f t="shared" si="27"/>
        <v>0</v>
      </c>
      <c r="R69" s="12">
        <f t="shared" si="28"/>
        <v>0</v>
      </c>
      <c r="S69" s="45">
        <f t="shared" si="29"/>
        <v>0</v>
      </c>
      <c r="T69" s="45">
        <f t="shared" si="30"/>
        <v>0</v>
      </c>
      <c r="U69" s="45">
        <f t="shared" si="31"/>
        <v>0</v>
      </c>
      <c r="V69" s="46">
        <v>5.78</v>
      </c>
      <c r="W69" s="46">
        <f t="shared" si="32"/>
        <v>0</v>
      </c>
      <c r="X69" s="45" t="e">
        <f t="shared" ref="X69:X70" si="33">V69/W69</f>
        <v>#DIV/0!</v>
      </c>
    </row>
    <row r="70" spans="1:25" x14ac:dyDescent="0.25">
      <c r="A70" s="2"/>
      <c r="B70" s="11"/>
      <c r="C70" s="11"/>
      <c r="D70" s="11"/>
      <c r="E70" s="11"/>
      <c r="F70" s="43">
        <f t="shared" si="25"/>
        <v>0</v>
      </c>
      <c r="G70" s="44"/>
      <c r="H70" s="11"/>
      <c r="J70" s="2"/>
      <c r="K70" s="11"/>
      <c r="L70" s="11"/>
      <c r="M70" s="44"/>
      <c r="N70" s="44"/>
      <c r="O70" s="43">
        <f t="shared" si="26"/>
        <v>0</v>
      </c>
      <c r="P70" s="44">
        <v>5.79</v>
      </c>
      <c r="Q70" s="11">
        <f t="shared" si="27"/>
        <v>0</v>
      </c>
      <c r="R70" s="12">
        <f t="shared" si="28"/>
        <v>0</v>
      </c>
      <c r="S70" s="45">
        <f t="shared" si="29"/>
        <v>0</v>
      </c>
      <c r="T70" s="45">
        <f t="shared" si="30"/>
        <v>0</v>
      </c>
      <c r="U70" s="45">
        <f t="shared" si="31"/>
        <v>0</v>
      </c>
      <c r="V70" s="46">
        <v>5.79</v>
      </c>
      <c r="W70" s="46">
        <f t="shared" si="32"/>
        <v>0</v>
      </c>
      <c r="X70" s="45" t="e">
        <f t="shared" si="33"/>
        <v>#DIV/0!</v>
      </c>
    </row>
    <row r="71" spans="1:25" x14ac:dyDescent="0.25">
      <c r="A71" s="2"/>
      <c r="B71" s="44"/>
      <c r="C71" s="44"/>
      <c r="D71" s="44"/>
      <c r="E71" s="44"/>
      <c r="F71" s="43">
        <f t="shared" si="25"/>
        <v>0</v>
      </c>
      <c r="G71" s="44"/>
      <c r="H71" s="11"/>
      <c r="J71" s="2"/>
      <c r="K71" s="44"/>
      <c r="L71" s="44"/>
      <c r="M71" s="44"/>
      <c r="N71" s="44"/>
      <c r="O71" s="43">
        <f t="shared" si="26"/>
        <v>0</v>
      </c>
      <c r="P71" s="44">
        <v>5.79</v>
      </c>
      <c r="Q71" s="11">
        <f t="shared" si="27"/>
        <v>0</v>
      </c>
      <c r="R71" s="12">
        <f t="shared" si="28"/>
        <v>0</v>
      </c>
      <c r="S71" s="45">
        <f>B71-D71</f>
        <v>0</v>
      </c>
      <c r="T71" s="45">
        <f t="shared" si="30"/>
        <v>0</v>
      </c>
      <c r="U71" s="45">
        <f t="shared" si="31"/>
        <v>0</v>
      </c>
      <c r="V71" s="46">
        <v>5.79</v>
      </c>
      <c r="W71" s="46">
        <f t="shared" si="32"/>
        <v>0</v>
      </c>
      <c r="X71" s="45"/>
    </row>
    <row r="72" spans="1:25" x14ac:dyDescent="0.25">
      <c r="F72" s="66">
        <f>SUM(F37:F71)</f>
        <v>92031.09</v>
      </c>
      <c r="G72" s="59"/>
      <c r="H72" s="48">
        <f>SUM(H37:H71)</f>
        <v>16231.709496930993</v>
      </c>
      <c r="O72" s="66">
        <f>SUM(O37:O71)</f>
        <v>91201.99599999997</v>
      </c>
      <c r="P72" s="59"/>
      <c r="Q72" s="11">
        <f>SUM(Q37:Q71)</f>
        <v>16085.430999048185</v>
      </c>
      <c r="R72" s="67">
        <f>SUM(R37:R71)</f>
        <v>321.7086199809637</v>
      </c>
      <c r="W72" s="47"/>
    </row>
    <row r="73" spans="1:25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spans="1:25" x14ac:dyDescent="0.25">
      <c r="A74" s="79"/>
      <c r="B74" s="79"/>
      <c r="C74" s="79"/>
      <c r="D74" s="79"/>
      <c r="E74" s="79"/>
      <c r="F74" s="79"/>
      <c r="G74" s="14"/>
      <c r="H74" s="14"/>
      <c r="I74" s="20"/>
      <c r="J74" s="79"/>
      <c r="K74" s="79"/>
      <c r="L74" s="79"/>
      <c r="M74" s="79"/>
      <c r="N74" s="79"/>
      <c r="O74" s="79"/>
      <c r="P74" s="14"/>
      <c r="Q74" s="14"/>
      <c r="R74" s="82"/>
      <c r="S74" s="20"/>
      <c r="T74" s="20"/>
      <c r="U74" s="16"/>
      <c r="V74" s="16"/>
      <c r="W74" s="16"/>
      <c r="X74" s="16"/>
      <c r="Y74" s="20"/>
    </row>
    <row r="75" spans="1:25" x14ac:dyDescent="0.25">
      <c r="A75" s="80"/>
      <c r="B75" s="81"/>
      <c r="C75" s="81"/>
      <c r="D75" s="81"/>
      <c r="E75" s="81"/>
      <c r="F75" s="83"/>
      <c r="G75" s="16"/>
      <c r="H75" s="16"/>
      <c r="I75" s="20"/>
      <c r="J75" s="80"/>
      <c r="K75" s="81"/>
      <c r="L75" s="81"/>
      <c r="M75" s="81"/>
      <c r="N75" s="81"/>
      <c r="O75" s="83"/>
      <c r="P75" s="16"/>
      <c r="Q75" s="16"/>
      <c r="R75" s="17"/>
      <c r="S75" s="83"/>
      <c r="T75" s="83"/>
      <c r="U75" s="83"/>
      <c r="V75" s="16"/>
      <c r="W75" s="16"/>
      <c r="X75" s="20"/>
      <c r="Y75" s="20"/>
    </row>
    <row r="76" spans="1:25" x14ac:dyDescent="0.25">
      <c r="A76" s="80"/>
      <c r="B76" s="62" t="s">
        <v>52</v>
      </c>
      <c r="C76" s="62"/>
      <c r="D76" s="62"/>
      <c r="K76" s="62" t="s">
        <v>30</v>
      </c>
      <c r="L76" s="62"/>
      <c r="M76" s="62"/>
      <c r="Y76" s="45"/>
    </row>
    <row r="77" spans="1:25" ht="45" x14ac:dyDescent="0.25">
      <c r="A77" s="80"/>
      <c r="B77" s="1" t="s">
        <v>0</v>
      </c>
      <c r="C77" s="1" t="s">
        <v>1</v>
      </c>
      <c r="D77" s="1" t="s">
        <v>2</v>
      </c>
      <c r="E77" s="1" t="s">
        <v>1</v>
      </c>
      <c r="F77" s="63" t="s">
        <v>2</v>
      </c>
      <c r="G77" s="49" t="s">
        <v>7</v>
      </c>
      <c r="H77" s="9" t="s">
        <v>9</v>
      </c>
      <c r="I77" s="9" t="s">
        <v>6</v>
      </c>
      <c r="K77" s="1" t="s">
        <v>0</v>
      </c>
      <c r="L77" s="1" t="s">
        <v>1</v>
      </c>
      <c r="M77" s="1" t="s">
        <v>2</v>
      </c>
      <c r="N77" s="1" t="s">
        <v>1</v>
      </c>
      <c r="O77" s="63" t="s">
        <v>2</v>
      </c>
      <c r="P77" s="49" t="s">
        <v>7</v>
      </c>
      <c r="Q77" s="9" t="s">
        <v>9</v>
      </c>
      <c r="R77" s="9" t="s">
        <v>6</v>
      </c>
      <c r="S77" s="64" t="s">
        <v>27</v>
      </c>
      <c r="V77" s="46"/>
      <c r="W77" s="46"/>
      <c r="X77" s="46"/>
      <c r="Y77" s="45" t="e">
        <f>W77/X77</f>
        <v>#DIV/0!</v>
      </c>
    </row>
    <row r="78" spans="1:25" x14ac:dyDescent="0.25">
      <c r="A78" s="80"/>
      <c r="B78" s="2">
        <v>44743</v>
      </c>
      <c r="C78" s="75">
        <v>284.39</v>
      </c>
      <c r="D78" s="75">
        <v>298.31</v>
      </c>
      <c r="E78" s="75">
        <v>282.26</v>
      </c>
      <c r="F78" s="75">
        <v>293.83999999999997</v>
      </c>
      <c r="G78" s="43">
        <f>C78+D78</f>
        <v>582.70000000000005</v>
      </c>
      <c r="H78" s="11">
        <v>5.56</v>
      </c>
      <c r="I78" s="11">
        <f>G78/H78</f>
        <v>104.80215827338131</v>
      </c>
      <c r="K78" s="2">
        <v>44743</v>
      </c>
      <c r="L78" s="75">
        <v>282.26</v>
      </c>
      <c r="M78" s="75">
        <v>293.83999999999997</v>
      </c>
      <c r="N78" s="3">
        <f>+'[2]DIA 1'!Q$50</f>
        <v>0</v>
      </c>
      <c r="O78" s="65">
        <f>+'[2]DIA 1'!Q$51</f>
        <v>0</v>
      </c>
      <c r="P78" s="43">
        <f>L78+M78</f>
        <v>576.09999999999991</v>
      </c>
      <c r="Q78" s="11">
        <v>5.56</v>
      </c>
      <c r="R78" s="11">
        <f>P78/Q78</f>
        <v>103.61510791366905</v>
      </c>
      <c r="S78" s="12">
        <f>R78*2%</f>
        <v>2.0723021582733812</v>
      </c>
      <c r="T78" s="45">
        <f>C78-E78</f>
        <v>2.1299999999999955</v>
      </c>
      <c r="U78" s="45">
        <f>D78-F78</f>
        <v>4.4700000000000273</v>
      </c>
      <c r="V78" s="45">
        <f>T78+U78</f>
        <v>6.6000000000000227</v>
      </c>
      <c r="W78" s="46">
        <v>5.56</v>
      </c>
      <c r="X78" s="46">
        <f>V78/W78</f>
        <v>1.1870503597122344</v>
      </c>
      <c r="Y78" s="45">
        <f>W78/X78</f>
        <v>4.6838787878787711</v>
      </c>
    </row>
    <row r="79" spans="1:25" x14ac:dyDescent="0.25">
      <c r="A79" s="80"/>
      <c r="B79" s="2">
        <v>44744</v>
      </c>
      <c r="C79" s="75">
        <v>832.32</v>
      </c>
      <c r="D79" s="75">
        <v>378.08</v>
      </c>
      <c r="E79" s="75">
        <v>826.08</v>
      </c>
      <c r="F79" s="75">
        <v>373.15</v>
      </c>
      <c r="G79" s="43">
        <f t="shared" ref="G79:G108" si="34">C79+D79</f>
        <v>1210.4000000000001</v>
      </c>
      <c r="H79" s="11">
        <v>5.56</v>
      </c>
      <c r="I79" s="11">
        <f>G79/H79</f>
        <v>217.69784172661875</v>
      </c>
      <c r="K79" s="2">
        <v>44744</v>
      </c>
      <c r="L79" s="75">
        <v>826.08</v>
      </c>
      <c r="M79" s="75">
        <v>373.15</v>
      </c>
      <c r="N79" s="3">
        <f>'[2]DIA 2'!Q$50</f>
        <v>0</v>
      </c>
      <c r="O79" s="65">
        <f>'[2]DIA 2'!Q$51</f>
        <v>0</v>
      </c>
      <c r="P79" s="43">
        <f t="shared" ref="P79:P108" si="35">L79+M79</f>
        <v>1199.23</v>
      </c>
      <c r="Q79" s="11">
        <v>5.56</v>
      </c>
      <c r="R79" s="11">
        <f t="shared" ref="R79:R93" si="36">P79/Q79</f>
        <v>215.68884892086334</v>
      </c>
      <c r="S79" s="12">
        <f t="shared" ref="S79:S93" si="37">R79*2%</f>
        <v>4.313776978417267</v>
      </c>
      <c r="T79" s="45">
        <f t="shared" ref="T79:T107" si="38">C79-E79</f>
        <v>6.2400000000000091</v>
      </c>
      <c r="U79" s="45">
        <f t="shared" ref="U79:U108" si="39">D79-F79</f>
        <v>4.9300000000000068</v>
      </c>
      <c r="V79" s="45">
        <f t="shared" ref="V79:V108" si="40">T79+U79</f>
        <v>11.170000000000016</v>
      </c>
      <c r="W79" s="46">
        <v>5.56</v>
      </c>
      <c r="X79" s="46">
        <f t="shared" ref="X79:X108" si="41">V79/W79</f>
        <v>2.0089928057553985</v>
      </c>
      <c r="Y79" s="45">
        <f t="shared" ref="Y79:Y88" si="42">W79/X79</f>
        <v>2.7675559534467284</v>
      </c>
    </row>
    <row r="80" spans="1:25" x14ac:dyDescent="0.25">
      <c r="A80" s="80"/>
      <c r="B80" s="2">
        <v>44745</v>
      </c>
      <c r="C80" s="75">
        <v>1341.31</v>
      </c>
      <c r="D80" s="75">
        <v>350.99</v>
      </c>
      <c r="E80" s="75">
        <v>1331.25</v>
      </c>
      <c r="F80" s="75">
        <v>345.73</v>
      </c>
      <c r="G80" s="43">
        <f t="shared" si="34"/>
        <v>1692.3</v>
      </c>
      <c r="H80" s="11">
        <v>5.56</v>
      </c>
      <c r="I80" s="11">
        <f>G80/H80</f>
        <v>304.37050359712231</v>
      </c>
      <c r="K80" s="2">
        <v>44745</v>
      </c>
      <c r="L80" s="75">
        <v>1331.25</v>
      </c>
      <c r="M80" s="75">
        <v>345.73</v>
      </c>
      <c r="N80" s="3">
        <f>'[2]DIA 3'!Q$50</f>
        <v>0</v>
      </c>
      <c r="O80" s="65">
        <f>'[2]DIA 3'!Q$51</f>
        <v>0</v>
      </c>
      <c r="P80" s="43">
        <f t="shared" si="35"/>
        <v>1676.98</v>
      </c>
      <c r="Q80" s="11">
        <v>5.56</v>
      </c>
      <c r="R80" s="11">
        <f t="shared" si="36"/>
        <v>301.61510791366908</v>
      </c>
      <c r="S80" s="12">
        <f t="shared" si="37"/>
        <v>6.0323021582733816</v>
      </c>
      <c r="T80" s="45">
        <f t="shared" si="38"/>
        <v>10.059999999999945</v>
      </c>
      <c r="U80" s="45">
        <f t="shared" si="39"/>
        <v>5.2599999999999909</v>
      </c>
      <c r="V80" s="45">
        <f t="shared" si="40"/>
        <v>15.319999999999936</v>
      </c>
      <c r="W80" s="46">
        <v>5.56</v>
      </c>
      <c r="X80" s="46">
        <f t="shared" si="41"/>
        <v>2.7553956834532261</v>
      </c>
      <c r="Y80" s="45">
        <f t="shared" si="42"/>
        <v>2.0178590078329064</v>
      </c>
    </row>
    <row r="81" spans="1:25" x14ac:dyDescent="0.25">
      <c r="A81" s="80"/>
      <c r="B81" s="2">
        <v>44746</v>
      </c>
      <c r="C81" s="75">
        <v>489.06</v>
      </c>
      <c r="D81" s="75">
        <v>155.88999999999999</v>
      </c>
      <c r="E81" s="75">
        <v>485.39</v>
      </c>
      <c r="F81" s="75">
        <v>153.55000000000001</v>
      </c>
      <c r="G81" s="43">
        <f t="shared" si="34"/>
        <v>644.95000000000005</v>
      </c>
      <c r="H81" s="11">
        <v>5.56</v>
      </c>
      <c r="I81" s="11">
        <f t="shared" ref="I81:I107" si="43">G81/H81</f>
        <v>115.99820143884894</v>
      </c>
      <c r="K81" s="2">
        <v>44746</v>
      </c>
      <c r="L81" s="75">
        <v>485.39</v>
      </c>
      <c r="M81" s="75">
        <v>153.55000000000001</v>
      </c>
      <c r="N81" s="3">
        <f>'[2]DIA 4'!Q$50</f>
        <v>0</v>
      </c>
      <c r="O81" s="65">
        <f>'[2]DIA 4'!Q$51</f>
        <v>0</v>
      </c>
      <c r="P81" s="43">
        <f t="shared" si="35"/>
        <v>638.94000000000005</v>
      </c>
      <c r="Q81" s="11">
        <v>5.56</v>
      </c>
      <c r="R81" s="11">
        <f t="shared" si="36"/>
        <v>114.91726618705037</v>
      </c>
      <c r="S81" s="12">
        <f t="shared" si="37"/>
        <v>2.2983453237410076</v>
      </c>
      <c r="T81" s="45">
        <f t="shared" si="38"/>
        <v>3.6700000000000159</v>
      </c>
      <c r="U81" s="45">
        <f t="shared" si="39"/>
        <v>2.339999999999975</v>
      </c>
      <c r="V81" s="45">
        <f t="shared" si="40"/>
        <v>6.0099999999999909</v>
      </c>
      <c r="W81" s="46">
        <v>5.56</v>
      </c>
      <c r="X81" s="46">
        <f t="shared" si="41"/>
        <v>1.0809352517985595</v>
      </c>
      <c r="Y81" s="45">
        <f t="shared" si="42"/>
        <v>5.1436938435940176</v>
      </c>
    </row>
    <row r="82" spans="1:25" x14ac:dyDescent="0.25">
      <c r="A82" s="80"/>
      <c r="B82" s="2">
        <v>44747</v>
      </c>
      <c r="C82" s="75">
        <v>395.24</v>
      </c>
      <c r="D82" s="75">
        <v>422.11</v>
      </c>
      <c r="E82" s="75">
        <v>392.28</v>
      </c>
      <c r="F82" s="75">
        <v>415.78</v>
      </c>
      <c r="G82" s="43">
        <f t="shared" si="34"/>
        <v>817.35</v>
      </c>
      <c r="H82" s="11">
        <v>5.56</v>
      </c>
      <c r="I82" s="11">
        <f t="shared" si="43"/>
        <v>147.00539568345326</v>
      </c>
      <c r="K82" s="2">
        <v>44747</v>
      </c>
      <c r="L82" s="75">
        <v>392.28</v>
      </c>
      <c r="M82" s="75">
        <v>415.78</v>
      </c>
      <c r="N82" s="3">
        <f>'[2]DIA 5'!Q$50</f>
        <v>0</v>
      </c>
      <c r="O82" s="65">
        <f>'[2]DIA 5'!Q$51</f>
        <v>0</v>
      </c>
      <c r="P82" s="43">
        <f t="shared" si="35"/>
        <v>808.06</v>
      </c>
      <c r="Q82" s="11">
        <v>5.56</v>
      </c>
      <c r="R82" s="11">
        <f t="shared" si="36"/>
        <v>145.33453237410072</v>
      </c>
      <c r="S82" s="12">
        <f t="shared" si="37"/>
        <v>2.9066906474820144</v>
      </c>
      <c r="T82" s="45">
        <f t="shared" si="38"/>
        <v>2.9600000000000364</v>
      </c>
      <c r="U82" s="45">
        <f t="shared" si="39"/>
        <v>6.3300000000000409</v>
      </c>
      <c r="V82" s="45">
        <f t="shared" si="40"/>
        <v>9.2900000000000773</v>
      </c>
      <c r="W82" s="46">
        <v>5.56</v>
      </c>
      <c r="X82" s="46">
        <f t="shared" si="41"/>
        <v>1.670863309352532</v>
      </c>
      <c r="Y82" s="45">
        <f t="shared" si="42"/>
        <v>3.3276210979547618</v>
      </c>
    </row>
    <row r="83" spans="1:25" x14ac:dyDescent="0.25">
      <c r="A83" s="80"/>
      <c r="B83" s="2">
        <v>44748</v>
      </c>
      <c r="C83" s="75">
        <v>599.1</v>
      </c>
      <c r="D83" s="75">
        <v>542.94000000000005</v>
      </c>
      <c r="E83" s="75">
        <v>594.61</v>
      </c>
      <c r="F83" s="75">
        <v>534.79999999999995</v>
      </c>
      <c r="G83" s="43">
        <f t="shared" si="34"/>
        <v>1142.04</v>
      </c>
      <c r="H83" s="11">
        <v>5.56</v>
      </c>
      <c r="I83" s="11">
        <f t="shared" si="43"/>
        <v>205.40287769784175</v>
      </c>
      <c r="K83" s="2">
        <v>44748</v>
      </c>
      <c r="L83" s="75">
        <v>594.61</v>
      </c>
      <c r="M83" s="75">
        <v>534.79999999999995</v>
      </c>
      <c r="N83" s="3">
        <f>'[2]DIA 6'!Q$50</f>
        <v>0</v>
      </c>
      <c r="O83" s="65">
        <f>'[2]DIA 6'!Q$51</f>
        <v>0</v>
      </c>
      <c r="P83" s="43">
        <f t="shared" si="35"/>
        <v>1129.4099999999999</v>
      </c>
      <c r="Q83" s="11">
        <v>5.56</v>
      </c>
      <c r="R83" s="11">
        <f t="shared" si="36"/>
        <v>203.13129496402877</v>
      </c>
      <c r="S83" s="12">
        <f t="shared" si="37"/>
        <v>4.062625899280575</v>
      </c>
      <c r="T83" s="45">
        <f t="shared" si="38"/>
        <v>4.4900000000000091</v>
      </c>
      <c r="U83" s="45">
        <f t="shared" si="39"/>
        <v>8.1400000000001</v>
      </c>
      <c r="V83" s="45">
        <f t="shared" si="40"/>
        <v>12.630000000000109</v>
      </c>
      <c r="W83" s="46">
        <v>5.56</v>
      </c>
      <c r="X83" s="46">
        <f t="shared" si="41"/>
        <v>2.2715827338129695</v>
      </c>
      <c r="Y83" s="45">
        <f t="shared" si="42"/>
        <v>2.4476326207442383</v>
      </c>
    </row>
    <row r="84" spans="1:25" x14ac:dyDescent="0.25">
      <c r="A84" s="80"/>
      <c r="B84" s="2">
        <v>44749</v>
      </c>
      <c r="C84" s="75">
        <v>953.89</v>
      </c>
      <c r="D84" s="75">
        <v>1030.8499999999999</v>
      </c>
      <c r="E84" s="75">
        <v>946.74</v>
      </c>
      <c r="F84" s="75">
        <v>1015.39</v>
      </c>
      <c r="G84" s="43">
        <f t="shared" si="34"/>
        <v>1984.7399999999998</v>
      </c>
      <c r="H84" s="11">
        <v>5.57</v>
      </c>
      <c r="I84" s="11">
        <f t="shared" si="43"/>
        <v>356.32675044883297</v>
      </c>
      <c r="K84" s="2">
        <v>44749</v>
      </c>
      <c r="L84" s="75">
        <v>946.74</v>
      </c>
      <c r="M84" s="75">
        <v>1015.39</v>
      </c>
      <c r="N84" s="3">
        <f>'[2]DIA 7'!Q$50</f>
        <v>0</v>
      </c>
      <c r="O84" s="65">
        <f>'[2]DIA 7'!Q$51</f>
        <v>0</v>
      </c>
      <c r="P84" s="43">
        <f t="shared" si="35"/>
        <v>1962.13</v>
      </c>
      <c r="Q84" s="11">
        <v>5.57</v>
      </c>
      <c r="R84" s="11">
        <f t="shared" si="36"/>
        <v>352.26750448833036</v>
      </c>
      <c r="S84" s="12">
        <f t="shared" si="37"/>
        <v>7.0453500897666075</v>
      </c>
      <c r="T84" s="45">
        <f t="shared" si="38"/>
        <v>7.1499999999999773</v>
      </c>
      <c r="U84" s="45">
        <f t="shared" si="39"/>
        <v>15.459999999999923</v>
      </c>
      <c r="V84" s="45">
        <f t="shared" si="40"/>
        <v>22.6099999999999</v>
      </c>
      <c r="W84" s="46">
        <v>5.57</v>
      </c>
      <c r="X84" s="46">
        <f t="shared" si="41"/>
        <v>4.0592459605026745</v>
      </c>
      <c r="Y84" s="45">
        <f t="shared" si="42"/>
        <v>1.3721760283060656</v>
      </c>
    </row>
    <row r="85" spans="1:25" x14ac:dyDescent="0.25">
      <c r="A85" s="80"/>
      <c r="B85" s="2">
        <v>44750</v>
      </c>
      <c r="C85" s="75">
        <v>750.6</v>
      </c>
      <c r="D85" s="75">
        <v>903.12</v>
      </c>
      <c r="E85" s="75">
        <v>744.97</v>
      </c>
      <c r="F85" s="75">
        <v>889.57</v>
      </c>
      <c r="G85" s="43">
        <f t="shared" si="34"/>
        <v>1653.72</v>
      </c>
      <c r="H85" s="11">
        <v>5.61</v>
      </c>
      <c r="I85" s="11">
        <f t="shared" si="43"/>
        <v>294.78074866310158</v>
      </c>
      <c r="K85" s="2">
        <v>44750</v>
      </c>
      <c r="L85" s="75">
        <v>744.97</v>
      </c>
      <c r="M85" s="75">
        <v>889.57</v>
      </c>
      <c r="N85" s="3">
        <f>'[2]DIA 8'!Q$50</f>
        <v>0</v>
      </c>
      <c r="O85" s="65">
        <f>'[2]DIA 8'!Q$51</f>
        <v>0</v>
      </c>
      <c r="P85" s="43">
        <f t="shared" si="35"/>
        <v>1634.54</v>
      </c>
      <c r="Q85" s="11">
        <v>5.61</v>
      </c>
      <c r="R85" s="11">
        <f t="shared" si="36"/>
        <v>291.36185383244202</v>
      </c>
      <c r="S85" s="12">
        <f t="shared" si="37"/>
        <v>5.8272370766488404</v>
      </c>
      <c r="T85" s="45">
        <f t="shared" si="38"/>
        <v>5.6299999999999955</v>
      </c>
      <c r="U85" s="45">
        <f t="shared" si="39"/>
        <v>13.549999999999955</v>
      </c>
      <c r="V85" s="45">
        <f t="shared" si="40"/>
        <v>19.17999999999995</v>
      </c>
      <c r="W85" s="46">
        <v>5.61</v>
      </c>
      <c r="X85" s="46">
        <f t="shared" si="41"/>
        <v>3.4188948306595273</v>
      </c>
      <c r="Y85" s="45">
        <f t="shared" si="42"/>
        <v>1.6408811261731016</v>
      </c>
    </row>
    <row r="86" spans="1:25" x14ac:dyDescent="0.25">
      <c r="A86" s="80"/>
      <c r="B86" s="2">
        <v>44751</v>
      </c>
      <c r="C86" s="75">
        <v>467.68</v>
      </c>
      <c r="D86" s="75">
        <v>425.51</v>
      </c>
      <c r="E86" s="75">
        <v>464.17</v>
      </c>
      <c r="F86" s="75">
        <v>419.13</v>
      </c>
      <c r="G86" s="43">
        <f t="shared" si="34"/>
        <v>893.19</v>
      </c>
      <c r="H86" s="11">
        <v>5.61</v>
      </c>
      <c r="I86" s="11">
        <f t="shared" si="43"/>
        <v>159.21390374331551</v>
      </c>
      <c r="K86" s="2">
        <v>44751</v>
      </c>
      <c r="L86" s="75">
        <v>464.17</v>
      </c>
      <c r="M86" s="75">
        <v>419.13</v>
      </c>
      <c r="N86" s="3">
        <f>'[2]DIA 9'!Q$50</f>
        <v>0</v>
      </c>
      <c r="O86" s="65">
        <f>'[2]DIA 9'!Q$51</f>
        <v>0</v>
      </c>
      <c r="P86" s="43">
        <f t="shared" si="35"/>
        <v>883.3</v>
      </c>
      <c r="Q86" s="11">
        <v>5.61</v>
      </c>
      <c r="R86" s="11">
        <f t="shared" si="36"/>
        <v>157.45098039215685</v>
      </c>
      <c r="S86" s="12">
        <f t="shared" si="37"/>
        <v>3.1490196078431372</v>
      </c>
      <c r="T86" s="45">
        <f t="shared" si="38"/>
        <v>3.5099999999999909</v>
      </c>
      <c r="U86" s="45">
        <f t="shared" si="39"/>
        <v>6.3799999999999955</v>
      </c>
      <c r="V86" s="45">
        <f t="shared" si="40"/>
        <v>9.8899999999999864</v>
      </c>
      <c r="W86" s="46">
        <v>5.61</v>
      </c>
      <c r="X86" s="46">
        <f t="shared" si="41"/>
        <v>1.7629233511586428</v>
      </c>
      <c r="Y86" s="45">
        <f t="shared" si="42"/>
        <v>3.182214357937315</v>
      </c>
    </row>
    <row r="87" spans="1:25" x14ac:dyDescent="0.25">
      <c r="A87" s="80"/>
      <c r="B87" s="2">
        <v>44752</v>
      </c>
      <c r="C87" s="75">
        <v>1094.68</v>
      </c>
      <c r="D87" s="75">
        <v>362.19</v>
      </c>
      <c r="E87" s="75">
        <v>1086.47</v>
      </c>
      <c r="F87" s="75">
        <v>356.76</v>
      </c>
      <c r="G87" s="43">
        <f t="shared" si="34"/>
        <v>1456.8700000000001</v>
      </c>
      <c r="H87" s="11">
        <v>5.61</v>
      </c>
      <c r="I87" s="11">
        <f t="shared" si="43"/>
        <v>259.69162210338681</v>
      </c>
      <c r="K87" s="2">
        <v>44752</v>
      </c>
      <c r="L87" s="75">
        <v>1086.47</v>
      </c>
      <c r="M87" s="75">
        <v>356.76</v>
      </c>
      <c r="N87" s="3">
        <f>'[2]DIA 10'!Q$50</f>
        <v>0</v>
      </c>
      <c r="O87" s="65">
        <f>'[2]DIA 10'!Q$51</f>
        <v>0</v>
      </c>
      <c r="P87" s="43">
        <f t="shared" si="35"/>
        <v>1443.23</v>
      </c>
      <c r="Q87" s="11">
        <v>5.61</v>
      </c>
      <c r="R87" s="11">
        <f t="shared" si="36"/>
        <v>257.26024955436719</v>
      </c>
      <c r="S87" s="12">
        <f t="shared" si="37"/>
        <v>5.1452049910873443</v>
      </c>
      <c r="T87" s="45">
        <f t="shared" si="38"/>
        <v>8.2100000000000364</v>
      </c>
      <c r="U87" s="45">
        <f t="shared" si="39"/>
        <v>5.4300000000000068</v>
      </c>
      <c r="V87" s="45">
        <f t="shared" si="40"/>
        <v>13.640000000000043</v>
      </c>
      <c r="W87" s="46">
        <v>5.61</v>
      </c>
      <c r="X87" s="46">
        <f t="shared" si="41"/>
        <v>2.4313725490196152</v>
      </c>
      <c r="Y87" s="45">
        <f t="shared" si="42"/>
        <v>2.3073387096774125</v>
      </c>
    </row>
    <row r="88" spans="1:25" x14ac:dyDescent="0.25">
      <c r="A88" s="80"/>
      <c r="B88" s="2">
        <v>44753</v>
      </c>
      <c r="C88" s="75">
        <v>485.18</v>
      </c>
      <c r="D88" s="75">
        <v>242.5</v>
      </c>
      <c r="E88" s="75">
        <v>481.54</v>
      </c>
      <c r="F88" s="75">
        <v>239.26</v>
      </c>
      <c r="G88" s="43">
        <f t="shared" si="34"/>
        <v>727.68000000000006</v>
      </c>
      <c r="H88" s="11">
        <v>5.61</v>
      </c>
      <c r="I88" s="11">
        <f t="shared" si="43"/>
        <v>129.71122994652407</v>
      </c>
      <c r="K88" s="2">
        <v>44753</v>
      </c>
      <c r="L88" s="75">
        <v>481.54</v>
      </c>
      <c r="M88" s="75">
        <v>239.26</v>
      </c>
      <c r="N88" s="3">
        <f>'[2]DIA 11'!Q$50</f>
        <v>0</v>
      </c>
      <c r="O88" s="65">
        <f>'[2]DIA 11'!Q$51</f>
        <v>0</v>
      </c>
      <c r="P88" s="43">
        <f t="shared" si="35"/>
        <v>720.8</v>
      </c>
      <c r="Q88" s="11">
        <v>5.61</v>
      </c>
      <c r="R88" s="11">
        <f t="shared" si="36"/>
        <v>128.48484848484847</v>
      </c>
      <c r="S88" s="12">
        <f t="shared" si="37"/>
        <v>2.5696969696969694</v>
      </c>
      <c r="T88" s="45">
        <f t="shared" si="38"/>
        <v>3.6399999999999864</v>
      </c>
      <c r="U88" s="45">
        <f t="shared" si="39"/>
        <v>3.2400000000000091</v>
      </c>
      <c r="V88" s="45">
        <f t="shared" si="40"/>
        <v>6.8799999999999955</v>
      </c>
      <c r="W88" s="46">
        <v>5.61</v>
      </c>
      <c r="X88" s="46">
        <f t="shared" si="41"/>
        <v>1.2263814616755784</v>
      </c>
      <c r="Y88" s="45">
        <f t="shared" si="42"/>
        <v>4.5744331395348876</v>
      </c>
    </row>
    <row r="89" spans="1:25" x14ac:dyDescent="0.25">
      <c r="A89" s="80"/>
      <c r="B89" s="2">
        <v>44754</v>
      </c>
      <c r="C89" s="75">
        <v>449.9</v>
      </c>
      <c r="D89" s="75">
        <v>289.42</v>
      </c>
      <c r="E89" s="75">
        <v>446.53</v>
      </c>
      <c r="F89" s="75">
        <v>285.08</v>
      </c>
      <c r="G89" s="43">
        <f t="shared" si="34"/>
        <v>739.31999999999994</v>
      </c>
      <c r="H89" s="11">
        <v>5.62</v>
      </c>
      <c r="I89" s="11">
        <f t="shared" si="43"/>
        <v>131.55160142348754</v>
      </c>
      <c r="K89" s="2">
        <v>44754</v>
      </c>
      <c r="L89" s="75">
        <v>446.53</v>
      </c>
      <c r="M89" s="75">
        <v>285.08</v>
      </c>
      <c r="N89" s="3">
        <f>'[2]DIA 12'!Q$50</f>
        <v>0</v>
      </c>
      <c r="O89" s="65">
        <f>'[2]DIA 12'!Q$51</f>
        <v>0</v>
      </c>
      <c r="P89" s="43">
        <f t="shared" si="35"/>
        <v>731.6099999999999</v>
      </c>
      <c r="Q89" s="11">
        <v>5.62</v>
      </c>
      <c r="R89" s="11">
        <f t="shared" si="36"/>
        <v>130.17971530249108</v>
      </c>
      <c r="S89" s="12">
        <f t="shared" si="37"/>
        <v>2.6035943060498217</v>
      </c>
      <c r="T89" s="45">
        <f t="shared" si="38"/>
        <v>3.3700000000000045</v>
      </c>
      <c r="U89" s="45">
        <f t="shared" si="39"/>
        <v>4.3400000000000318</v>
      </c>
      <c r="V89" s="45">
        <f t="shared" si="40"/>
        <v>7.7100000000000364</v>
      </c>
      <c r="W89" s="46">
        <v>5.62</v>
      </c>
      <c r="X89" s="46">
        <f t="shared" si="41"/>
        <v>1.3718861209964477</v>
      </c>
      <c r="Y89" s="45">
        <f>V89/W89</f>
        <v>1.3718861209964477</v>
      </c>
    </row>
    <row r="90" spans="1:25" x14ac:dyDescent="0.25">
      <c r="A90" s="80"/>
      <c r="B90" s="2">
        <v>44755</v>
      </c>
      <c r="C90" s="75">
        <v>488.61</v>
      </c>
      <c r="D90" s="75">
        <v>570.15</v>
      </c>
      <c r="E90" s="75">
        <v>484.95</v>
      </c>
      <c r="F90" s="75">
        <v>561.6</v>
      </c>
      <c r="G90" s="43">
        <f t="shared" si="34"/>
        <v>1058.76</v>
      </c>
      <c r="H90" s="11">
        <v>5.66</v>
      </c>
      <c r="I90" s="11">
        <f t="shared" si="43"/>
        <v>187.0600706713781</v>
      </c>
      <c r="K90" s="2">
        <v>44755</v>
      </c>
      <c r="L90" s="75">
        <v>484.95</v>
      </c>
      <c r="M90" s="75">
        <v>561.6</v>
      </c>
      <c r="N90" s="3">
        <f>'[2]DIA 13'!Q$50</f>
        <v>0</v>
      </c>
      <c r="O90" s="65">
        <f>'[2]DIA 13'!Q$51</f>
        <v>0</v>
      </c>
      <c r="P90" s="43">
        <f t="shared" si="35"/>
        <v>1046.55</v>
      </c>
      <c r="Q90" s="11">
        <v>5.66</v>
      </c>
      <c r="R90" s="11">
        <f t="shared" si="36"/>
        <v>184.90282685512366</v>
      </c>
      <c r="S90" s="12">
        <f t="shared" si="37"/>
        <v>3.6980565371024734</v>
      </c>
      <c r="T90" s="45">
        <f t="shared" si="38"/>
        <v>3.660000000000025</v>
      </c>
      <c r="U90" s="45">
        <f t="shared" si="39"/>
        <v>8.5499999999999545</v>
      </c>
      <c r="V90" s="45">
        <f t="shared" si="40"/>
        <v>12.20999999999998</v>
      </c>
      <c r="W90" s="46">
        <v>5.66</v>
      </c>
      <c r="X90" s="46">
        <f t="shared" si="41"/>
        <v>2.1572438162544132</v>
      </c>
      <c r="Y90" s="45"/>
    </row>
    <row r="91" spans="1:25" x14ac:dyDescent="0.25">
      <c r="A91" s="80"/>
      <c r="B91" s="2">
        <v>44756</v>
      </c>
      <c r="C91" s="75">
        <v>828.15</v>
      </c>
      <c r="D91" s="75">
        <v>508.54</v>
      </c>
      <c r="E91" s="75">
        <v>821.94</v>
      </c>
      <c r="F91" s="75">
        <v>500.91</v>
      </c>
      <c r="G91" s="43">
        <f t="shared" si="34"/>
        <v>1336.69</v>
      </c>
      <c r="H91" s="11">
        <v>5.68</v>
      </c>
      <c r="I91" s="11">
        <f t="shared" si="43"/>
        <v>235.33274647887325</v>
      </c>
      <c r="K91" s="2">
        <v>44756</v>
      </c>
      <c r="L91" s="75">
        <v>821.94</v>
      </c>
      <c r="M91" s="75">
        <v>500.91</v>
      </c>
      <c r="N91" s="3">
        <f>'[2]DIA 14'!Q$50</f>
        <v>0</v>
      </c>
      <c r="O91" s="65">
        <f>'[2]DIA 14'!Q$51</f>
        <v>0</v>
      </c>
      <c r="P91" s="43">
        <f t="shared" si="35"/>
        <v>1322.8500000000001</v>
      </c>
      <c r="Q91" s="11">
        <v>5.68</v>
      </c>
      <c r="R91" s="11">
        <f t="shared" si="36"/>
        <v>232.89612676056342</v>
      </c>
      <c r="S91" s="12">
        <f t="shared" si="37"/>
        <v>4.6579225352112683</v>
      </c>
      <c r="T91" s="45">
        <f t="shared" si="38"/>
        <v>6.2099999999999227</v>
      </c>
      <c r="U91" s="45">
        <f t="shared" si="39"/>
        <v>7.6299999999999955</v>
      </c>
      <c r="V91" s="45">
        <f t="shared" si="40"/>
        <v>13.839999999999918</v>
      </c>
      <c r="W91" s="46">
        <v>5.68</v>
      </c>
      <c r="X91" s="46">
        <f t="shared" si="41"/>
        <v>2.4366197183098448</v>
      </c>
      <c r="Y91" s="45"/>
    </row>
    <row r="92" spans="1:25" x14ac:dyDescent="0.25">
      <c r="A92" s="80"/>
      <c r="B92" s="2">
        <v>44757</v>
      </c>
      <c r="C92" s="75">
        <v>778.23</v>
      </c>
      <c r="D92" s="75">
        <v>329.1</v>
      </c>
      <c r="E92" s="75">
        <v>772.39</v>
      </c>
      <c r="F92" s="75">
        <v>324.16000000000003</v>
      </c>
      <c r="G92" s="43">
        <f t="shared" si="34"/>
        <v>1107.33</v>
      </c>
      <c r="H92" s="11">
        <v>5.7</v>
      </c>
      <c r="I92" s="11">
        <f t="shared" si="43"/>
        <v>194.26842105263157</v>
      </c>
      <c r="K92" s="2">
        <v>44757</v>
      </c>
      <c r="L92" s="75">
        <v>772.39</v>
      </c>
      <c r="M92" s="75">
        <v>324.16000000000003</v>
      </c>
      <c r="N92" s="3">
        <f>'[2]DIA 15'!Q$50</f>
        <v>0</v>
      </c>
      <c r="O92" s="65">
        <f>'[2]DIA 15'!Q$51</f>
        <v>0</v>
      </c>
      <c r="P92" s="43">
        <f t="shared" si="35"/>
        <v>1096.55</v>
      </c>
      <c r="Q92" s="11">
        <v>5.7</v>
      </c>
      <c r="R92" s="11">
        <f t="shared" si="36"/>
        <v>192.37719298245614</v>
      </c>
      <c r="S92" s="12">
        <f t="shared" si="37"/>
        <v>3.8475438596491229</v>
      </c>
      <c r="T92" s="45">
        <f t="shared" si="38"/>
        <v>5.8400000000000318</v>
      </c>
      <c r="U92" s="45">
        <f t="shared" si="39"/>
        <v>4.9399999999999977</v>
      </c>
      <c r="V92" s="45">
        <f t="shared" si="40"/>
        <v>10.78000000000003</v>
      </c>
      <c r="W92" s="46">
        <v>5.7</v>
      </c>
      <c r="X92" s="46">
        <f t="shared" si="41"/>
        <v>1.8912280701754438</v>
      </c>
      <c r="Y92" s="45"/>
    </row>
    <row r="93" spans="1:25" x14ac:dyDescent="0.25">
      <c r="A93" s="80"/>
      <c r="B93" s="2">
        <v>44758</v>
      </c>
      <c r="C93" s="75">
        <v>1524.11</v>
      </c>
      <c r="D93" s="75">
        <v>472.7</v>
      </c>
      <c r="E93" s="75">
        <v>1512.68</v>
      </c>
      <c r="F93" s="75">
        <v>465.61</v>
      </c>
      <c r="G93" s="43">
        <f t="shared" si="34"/>
        <v>1996.81</v>
      </c>
      <c r="H93" s="11">
        <v>5.7</v>
      </c>
      <c r="I93" s="11">
        <f t="shared" si="43"/>
        <v>350.31754385964911</v>
      </c>
      <c r="K93" s="2">
        <v>44758</v>
      </c>
      <c r="L93" s="75">
        <v>1512.68</v>
      </c>
      <c r="M93" s="75">
        <v>465.61</v>
      </c>
      <c r="N93" s="3">
        <f>'[2]DIA 16'!Q$50</f>
        <v>0</v>
      </c>
      <c r="O93" s="65">
        <f>'[2]DIA 16'!Q$51</f>
        <v>0</v>
      </c>
      <c r="P93" s="43">
        <f t="shared" si="35"/>
        <v>1978.29</v>
      </c>
      <c r="Q93" s="11">
        <v>5.7</v>
      </c>
      <c r="R93" s="11">
        <f t="shared" si="36"/>
        <v>347.06842105263155</v>
      </c>
      <c r="S93" s="12">
        <f t="shared" si="37"/>
        <v>6.9413684210526307</v>
      </c>
      <c r="T93" s="45">
        <f t="shared" si="38"/>
        <v>11.429999999999836</v>
      </c>
      <c r="U93" s="45">
        <f t="shared" si="39"/>
        <v>7.089999999999975</v>
      </c>
      <c r="V93" s="45">
        <f t="shared" si="40"/>
        <v>18.519999999999811</v>
      </c>
      <c r="W93" s="46">
        <v>5.7</v>
      </c>
      <c r="X93" s="46">
        <f t="shared" si="41"/>
        <v>3.2491228070175104</v>
      </c>
      <c r="Y93" s="45"/>
    </row>
    <row r="94" spans="1:25" x14ac:dyDescent="0.25">
      <c r="A94" s="80"/>
      <c r="B94" s="2">
        <v>44759</v>
      </c>
      <c r="C94" s="75">
        <v>491.86</v>
      </c>
      <c r="D94" s="75">
        <v>261.97000000000003</v>
      </c>
      <c r="E94" s="75">
        <v>488.17</v>
      </c>
      <c r="F94" s="75">
        <v>258.04000000000002</v>
      </c>
      <c r="G94" s="43">
        <f t="shared" si="34"/>
        <v>753.83</v>
      </c>
      <c r="H94" s="11">
        <v>5.7</v>
      </c>
      <c r="I94" s="11">
        <f t="shared" si="43"/>
        <v>132.25087719298247</v>
      </c>
      <c r="K94" s="2">
        <v>44759</v>
      </c>
      <c r="L94" s="75">
        <v>488.17</v>
      </c>
      <c r="M94" s="75">
        <v>258.04000000000002</v>
      </c>
      <c r="N94" s="3">
        <f>'[2]DIA 17'!Q$50</f>
        <v>0</v>
      </c>
      <c r="O94" s="65">
        <f>'[2]DIA 17'!Q$51</f>
        <v>0</v>
      </c>
      <c r="P94" s="43">
        <f t="shared" si="35"/>
        <v>746.21</v>
      </c>
      <c r="Q94" s="11">
        <v>5.7</v>
      </c>
      <c r="R94" s="11">
        <f>P94/Q94</f>
        <v>130.9140350877193</v>
      </c>
      <c r="S94" s="12">
        <f>R94*2%</f>
        <v>2.6182807017543861</v>
      </c>
      <c r="T94" s="45">
        <f t="shared" si="38"/>
        <v>3.6899999999999977</v>
      </c>
      <c r="U94" s="45">
        <f t="shared" si="39"/>
        <v>3.9300000000000068</v>
      </c>
      <c r="V94" s="45">
        <f t="shared" si="40"/>
        <v>7.6200000000000045</v>
      </c>
      <c r="W94" s="46">
        <v>5.7</v>
      </c>
      <c r="X94" s="46">
        <f t="shared" si="41"/>
        <v>1.3368421052631587</v>
      </c>
      <c r="Y94" s="45"/>
    </row>
    <row r="95" spans="1:25" x14ac:dyDescent="0.25">
      <c r="A95" s="80"/>
      <c r="B95" s="2">
        <v>44760</v>
      </c>
      <c r="C95" s="75">
        <v>522.86</v>
      </c>
      <c r="D95" s="75">
        <v>470.58</v>
      </c>
      <c r="E95" s="75">
        <v>518.94000000000005</v>
      </c>
      <c r="F95" s="75">
        <v>463.52</v>
      </c>
      <c r="G95" s="43">
        <f t="shared" si="34"/>
        <v>993.44</v>
      </c>
      <c r="H95" s="11">
        <v>5.7</v>
      </c>
      <c r="I95" s="11">
        <f t="shared" si="43"/>
        <v>174.28771929824561</v>
      </c>
      <c r="K95" s="2">
        <v>44760</v>
      </c>
      <c r="L95" s="75">
        <v>518.94000000000005</v>
      </c>
      <c r="M95" s="75">
        <v>463.52</v>
      </c>
      <c r="N95" s="3">
        <f>'[2]DIA 18'!Q$50</f>
        <v>0</v>
      </c>
      <c r="O95" s="65">
        <f>'[2]DIA 18'!Q$51</f>
        <v>0</v>
      </c>
      <c r="P95" s="43">
        <f t="shared" si="35"/>
        <v>982.46</v>
      </c>
      <c r="Q95" s="11">
        <v>5.7</v>
      </c>
      <c r="R95" s="11">
        <f t="shared" ref="R95:R108" si="44">P95/Q95</f>
        <v>172.36140350877193</v>
      </c>
      <c r="S95" s="12">
        <f t="shared" ref="S95:S108" si="45">R95*2%</f>
        <v>3.4472280701754388</v>
      </c>
      <c r="T95" s="45">
        <f t="shared" si="38"/>
        <v>3.9199999999999591</v>
      </c>
      <c r="U95" s="45">
        <f t="shared" si="39"/>
        <v>7.0600000000000023</v>
      </c>
      <c r="V95" s="45">
        <f t="shared" si="40"/>
        <v>10.979999999999961</v>
      </c>
      <c r="W95" s="46">
        <v>5.7</v>
      </c>
      <c r="X95" s="46">
        <f t="shared" si="41"/>
        <v>1.9263157894736773</v>
      </c>
      <c r="Y95" s="45">
        <f t="shared" ref="Y95:Y97" si="46">W95/X95</f>
        <v>2.9590163934426337</v>
      </c>
    </row>
    <row r="96" spans="1:25" x14ac:dyDescent="0.25">
      <c r="A96" s="80"/>
      <c r="B96" s="2">
        <v>44761</v>
      </c>
      <c r="C96" s="75">
        <v>560.20000000000005</v>
      </c>
      <c r="D96" s="75">
        <v>332.5</v>
      </c>
      <c r="E96" s="75">
        <v>556</v>
      </c>
      <c r="F96" s="75">
        <v>327.51</v>
      </c>
      <c r="G96" s="43">
        <f t="shared" si="34"/>
        <v>892.7</v>
      </c>
      <c r="H96" s="11">
        <v>5.7</v>
      </c>
      <c r="I96" s="11">
        <f t="shared" si="43"/>
        <v>156.61403508771929</v>
      </c>
      <c r="K96" s="2">
        <v>44761</v>
      </c>
      <c r="L96" s="75">
        <v>556</v>
      </c>
      <c r="M96" s="75">
        <v>327.51</v>
      </c>
      <c r="N96" s="3">
        <f>'[2]DIA 19'!Q$50</f>
        <v>0</v>
      </c>
      <c r="O96" s="65">
        <f>'[2]DIA 19'!Q$51</f>
        <v>0</v>
      </c>
      <c r="P96" s="43">
        <f t="shared" si="35"/>
        <v>883.51</v>
      </c>
      <c r="Q96" s="11">
        <v>5.7</v>
      </c>
      <c r="R96" s="11">
        <f t="shared" si="44"/>
        <v>155.00175438596492</v>
      </c>
      <c r="S96" s="12">
        <f t="shared" si="45"/>
        <v>3.1000350877192986</v>
      </c>
      <c r="T96" s="45">
        <f t="shared" si="38"/>
        <v>4.2000000000000455</v>
      </c>
      <c r="U96" s="45">
        <f t="shared" si="39"/>
        <v>4.9900000000000091</v>
      </c>
      <c r="V96" s="45">
        <f t="shared" si="40"/>
        <v>9.1900000000000546</v>
      </c>
      <c r="W96" s="46">
        <v>5.7</v>
      </c>
      <c r="X96" s="46">
        <f t="shared" si="41"/>
        <v>1.6122807017543954</v>
      </c>
      <c r="Y96" s="45">
        <f t="shared" si="46"/>
        <v>3.5353645266593916</v>
      </c>
    </row>
    <row r="97" spans="1:25" x14ac:dyDescent="0.25">
      <c r="A97" s="80"/>
      <c r="B97" s="2">
        <v>44762</v>
      </c>
      <c r="C97" s="75">
        <v>462.19</v>
      </c>
      <c r="D97" s="75">
        <v>168.57</v>
      </c>
      <c r="E97" s="75">
        <v>458.72</v>
      </c>
      <c r="F97" s="84">
        <v>166.04</v>
      </c>
      <c r="G97" s="43">
        <f t="shared" si="34"/>
        <v>630.76</v>
      </c>
      <c r="H97" s="11">
        <v>5.7</v>
      </c>
      <c r="I97" s="11">
        <f t="shared" si="43"/>
        <v>110.65964912280701</v>
      </c>
      <c r="K97" s="2">
        <v>44762</v>
      </c>
      <c r="L97" s="75">
        <v>458.72</v>
      </c>
      <c r="M97" s="75">
        <v>166.04</v>
      </c>
      <c r="N97" s="3">
        <f>'[2]DIA 20'!Q$50</f>
        <v>0</v>
      </c>
      <c r="O97" s="65">
        <f>'[2]DIA 20'!Q$51</f>
        <v>0</v>
      </c>
      <c r="P97" s="43">
        <f t="shared" si="35"/>
        <v>624.76</v>
      </c>
      <c r="Q97" s="11">
        <v>5.7</v>
      </c>
      <c r="R97" s="11">
        <f t="shared" si="44"/>
        <v>109.60701754385964</v>
      </c>
      <c r="S97" s="12">
        <f t="shared" si="45"/>
        <v>2.1921403508771928</v>
      </c>
      <c r="T97" s="45">
        <f t="shared" si="38"/>
        <v>3.4699999999999704</v>
      </c>
      <c r="U97" s="45">
        <f t="shared" si="39"/>
        <v>2.5300000000000011</v>
      </c>
      <c r="V97" s="45">
        <f t="shared" si="40"/>
        <v>5.9999999999999716</v>
      </c>
      <c r="W97" s="46">
        <v>5.7</v>
      </c>
      <c r="X97" s="46">
        <f t="shared" si="41"/>
        <v>1.0526315789473635</v>
      </c>
      <c r="Y97" s="45">
        <f t="shared" si="46"/>
        <v>5.4150000000000258</v>
      </c>
    </row>
    <row r="98" spans="1:25" x14ac:dyDescent="0.25">
      <c r="A98" s="80"/>
      <c r="B98" s="2">
        <v>44763</v>
      </c>
      <c r="C98" s="75">
        <v>700.83</v>
      </c>
      <c r="D98" s="75">
        <v>49.24</v>
      </c>
      <c r="E98" s="75">
        <v>695.57</v>
      </c>
      <c r="F98" s="84">
        <v>48.5</v>
      </c>
      <c r="G98" s="43">
        <f t="shared" si="34"/>
        <v>750.07</v>
      </c>
      <c r="H98" s="11">
        <v>5.73</v>
      </c>
      <c r="I98" s="11">
        <f t="shared" si="43"/>
        <v>130.9022687609075</v>
      </c>
      <c r="K98" s="2">
        <v>44763</v>
      </c>
      <c r="L98" s="75">
        <v>695.57</v>
      </c>
      <c r="M98" s="75">
        <v>48.5</v>
      </c>
      <c r="N98" s="3">
        <f>'[2]DIA 21'!Q$50</f>
        <v>0</v>
      </c>
      <c r="O98" s="65">
        <f>'[2]DIA 21'!Q$51</f>
        <v>0</v>
      </c>
      <c r="P98" s="43">
        <f t="shared" si="35"/>
        <v>744.07</v>
      </c>
      <c r="Q98" s="11">
        <v>5.73</v>
      </c>
      <c r="R98" s="11">
        <f t="shared" si="44"/>
        <v>129.85514834205932</v>
      </c>
      <c r="S98" s="12">
        <f t="shared" si="45"/>
        <v>2.5971029668411867</v>
      </c>
      <c r="T98" s="45">
        <f t="shared" si="38"/>
        <v>5.2599999999999909</v>
      </c>
      <c r="U98" s="45">
        <f t="shared" si="39"/>
        <v>0.74000000000000199</v>
      </c>
      <c r="V98" s="45">
        <f t="shared" si="40"/>
        <v>5.9999999999999929</v>
      </c>
      <c r="W98" s="46">
        <v>5.73</v>
      </c>
      <c r="X98" s="46">
        <f t="shared" si="41"/>
        <v>1.0471204188481662</v>
      </c>
      <c r="Y98" s="45"/>
    </row>
    <row r="99" spans="1:25" x14ac:dyDescent="0.25">
      <c r="A99" s="80"/>
      <c r="B99" s="2">
        <v>44764</v>
      </c>
      <c r="C99" s="75">
        <v>888.96</v>
      </c>
      <c r="D99" s="75">
        <v>100.39</v>
      </c>
      <c r="E99" s="75">
        <v>882.29</v>
      </c>
      <c r="F99" s="75">
        <v>98.88</v>
      </c>
      <c r="G99" s="43">
        <f t="shared" si="34"/>
        <v>989.35</v>
      </c>
      <c r="H99" s="11">
        <v>5.73</v>
      </c>
      <c r="I99" s="11">
        <f t="shared" si="43"/>
        <v>172.66143106457241</v>
      </c>
      <c r="K99" s="2">
        <v>44764</v>
      </c>
      <c r="L99" s="75">
        <v>882.29</v>
      </c>
      <c r="M99" s="75">
        <v>98.88</v>
      </c>
      <c r="N99" s="3">
        <f>'[2]DIA 22'!Q$50</f>
        <v>0</v>
      </c>
      <c r="O99" s="3">
        <f>'[2]DIA 22'!Q$51</f>
        <v>0</v>
      </c>
      <c r="P99" s="43">
        <f t="shared" si="35"/>
        <v>981.17</v>
      </c>
      <c r="Q99" s="11">
        <v>5.73</v>
      </c>
      <c r="R99" s="11">
        <f t="shared" si="44"/>
        <v>171.23385689354274</v>
      </c>
      <c r="S99" s="12">
        <f t="shared" si="45"/>
        <v>3.4246771378708547</v>
      </c>
      <c r="T99" s="45">
        <f t="shared" si="38"/>
        <v>6.6700000000000728</v>
      </c>
      <c r="U99" s="45">
        <f t="shared" si="39"/>
        <v>1.5100000000000051</v>
      </c>
      <c r="V99" s="45">
        <f t="shared" si="40"/>
        <v>8.1800000000000779</v>
      </c>
      <c r="W99" s="46">
        <v>5.73</v>
      </c>
      <c r="X99" s="46">
        <f t="shared" si="41"/>
        <v>1.4275741710296819</v>
      </c>
      <c r="Y99" s="45">
        <f t="shared" ref="Y99:Y104" si="47">W99/X99</f>
        <v>4.0138019559901821</v>
      </c>
    </row>
    <row r="100" spans="1:25" x14ac:dyDescent="0.25">
      <c r="A100" s="80"/>
      <c r="B100" s="2">
        <v>44765</v>
      </c>
      <c r="C100" s="11">
        <v>826.63</v>
      </c>
      <c r="D100" s="11">
        <v>173.96</v>
      </c>
      <c r="E100" s="11">
        <v>820.43</v>
      </c>
      <c r="F100" s="11">
        <v>171.35</v>
      </c>
      <c r="G100" s="43">
        <f t="shared" si="34"/>
        <v>1000.59</v>
      </c>
      <c r="H100" s="44">
        <v>5.73</v>
      </c>
      <c r="I100" s="11">
        <f t="shared" si="43"/>
        <v>174.62303664921464</v>
      </c>
      <c r="K100" s="2">
        <v>44765</v>
      </c>
      <c r="L100" s="11">
        <v>820.43</v>
      </c>
      <c r="M100" s="11">
        <v>171.35</v>
      </c>
      <c r="N100" s="3">
        <f>'[2]DIA 22'!Q$50</f>
        <v>0</v>
      </c>
      <c r="O100" s="3">
        <f>'[2]DIA 22'!Q$51</f>
        <v>0</v>
      </c>
      <c r="P100" s="43">
        <f t="shared" si="35"/>
        <v>991.78</v>
      </c>
      <c r="Q100" s="44">
        <v>5.73</v>
      </c>
      <c r="R100" s="11">
        <f t="shared" si="44"/>
        <v>173.08551483420592</v>
      </c>
      <c r="S100" s="12">
        <f t="shared" si="45"/>
        <v>3.4617102966841187</v>
      </c>
      <c r="T100" s="45">
        <f t="shared" si="38"/>
        <v>6.2000000000000455</v>
      </c>
      <c r="U100" s="45">
        <f t="shared" si="39"/>
        <v>2.6100000000000136</v>
      </c>
      <c r="V100" s="45">
        <f t="shared" si="40"/>
        <v>8.8100000000000591</v>
      </c>
      <c r="W100" s="46">
        <v>5.73</v>
      </c>
      <c r="X100" s="46">
        <f t="shared" si="41"/>
        <v>1.5375218150087362</v>
      </c>
      <c r="Y100" s="45">
        <f t="shared" si="47"/>
        <v>3.7267763904653557</v>
      </c>
    </row>
    <row r="101" spans="1:25" x14ac:dyDescent="0.25">
      <c r="A101" s="80"/>
      <c r="B101" s="2">
        <v>44766</v>
      </c>
      <c r="C101" s="11">
        <v>918.25</v>
      </c>
      <c r="D101" s="11">
        <v>68.099999999999994</v>
      </c>
      <c r="E101" s="11">
        <v>911.36</v>
      </c>
      <c r="F101" s="11">
        <v>67.08</v>
      </c>
      <c r="G101" s="43">
        <f t="shared" si="34"/>
        <v>986.35</v>
      </c>
      <c r="H101" s="44">
        <v>5.73</v>
      </c>
      <c r="I101" s="11">
        <f t="shared" si="43"/>
        <v>172.13787085514832</v>
      </c>
      <c r="K101" s="2">
        <v>44766</v>
      </c>
      <c r="L101" s="11">
        <v>911.36</v>
      </c>
      <c r="M101" s="11">
        <v>67.08</v>
      </c>
      <c r="N101" s="3">
        <f>'[2]DIA 22'!Q$50</f>
        <v>0</v>
      </c>
      <c r="O101" s="3">
        <f>'[2]DIA 22'!Q$51</f>
        <v>0</v>
      </c>
      <c r="P101" s="43">
        <f t="shared" si="35"/>
        <v>978.44</v>
      </c>
      <c r="Q101" s="44">
        <v>5.73</v>
      </c>
      <c r="R101" s="11">
        <f t="shared" si="44"/>
        <v>170.75741710296683</v>
      </c>
      <c r="S101" s="12">
        <f t="shared" si="45"/>
        <v>3.4151483420593367</v>
      </c>
      <c r="T101" s="45">
        <f t="shared" si="38"/>
        <v>6.8899999999999864</v>
      </c>
      <c r="U101" s="45">
        <f t="shared" si="39"/>
        <v>1.019999999999996</v>
      </c>
      <c r="V101" s="45">
        <f t="shared" si="40"/>
        <v>7.9099999999999824</v>
      </c>
      <c r="W101" s="46">
        <v>5.73</v>
      </c>
      <c r="X101" s="46">
        <f t="shared" si="41"/>
        <v>1.3804537521814977</v>
      </c>
      <c r="Y101" s="45">
        <f t="shared" si="47"/>
        <v>4.1508091024020324</v>
      </c>
    </row>
    <row r="102" spans="1:25" x14ac:dyDescent="0.25">
      <c r="A102" s="80"/>
      <c r="B102" s="2">
        <v>44767</v>
      </c>
      <c r="C102" s="11">
        <v>720.1</v>
      </c>
      <c r="D102" s="11">
        <v>355.86</v>
      </c>
      <c r="E102" s="11">
        <v>714.7</v>
      </c>
      <c r="F102" s="11">
        <v>350.52</v>
      </c>
      <c r="G102" s="43">
        <f t="shared" si="34"/>
        <v>1075.96</v>
      </c>
      <c r="H102" s="44">
        <v>5.73</v>
      </c>
      <c r="I102" s="11">
        <f t="shared" si="43"/>
        <v>187.77661431064573</v>
      </c>
      <c r="K102" s="2">
        <v>44767</v>
      </c>
      <c r="L102" s="11">
        <v>714.7</v>
      </c>
      <c r="M102" s="11">
        <v>350.52</v>
      </c>
      <c r="N102" s="11"/>
      <c r="O102" s="11"/>
      <c r="P102" s="43">
        <f t="shared" si="35"/>
        <v>1065.22</v>
      </c>
      <c r="Q102" s="44">
        <v>5.73</v>
      </c>
      <c r="R102" s="11">
        <f t="shared" si="44"/>
        <v>185.9022687609075</v>
      </c>
      <c r="S102" s="12">
        <f t="shared" si="45"/>
        <v>3.7180453752181499</v>
      </c>
      <c r="T102" s="45">
        <f t="shared" si="38"/>
        <v>5.3999999999999773</v>
      </c>
      <c r="U102" s="45">
        <f t="shared" si="39"/>
        <v>5.3400000000000318</v>
      </c>
      <c r="V102" s="45">
        <f t="shared" si="40"/>
        <v>10.740000000000009</v>
      </c>
      <c r="W102" s="46">
        <v>5.73</v>
      </c>
      <c r="X102" s="46">
        <f t="shared" si="41"/>
        <v>1.8743455497382213</v>
      </c>
      <c r="Y102" s="45">
        <f t="shared" si="47"/>
        <v>3.0570670391061432</v>
      </c>
    </row>
    <row r="103" spans="1:25" x14ac:dyDescent="0.25">
      <c r="A103" s="80"/>
      <c r="B103" s="2">
        <v>44768</v>
      </c>
      <c r="C103" s="11">
        <v>421.99</v>
      </c>
      <c r="D103" s="11">
        <v>529.55999999999995</v>
      </c>
      <c r="E103" s="11">
        <v>418.82507500000003</v>
      </c>
      <c r="F103" s="11">
        <v>521.61660000000006</v>
      </c>
      <c r="G103" s="43">
        <f t="shared" si="34"/>
        <v>951.55</v>
      </c>
      <c r="H103" s="44">
        <v>5.73</v>
      </c>
      <c r="I103" s="11">
        <f t="shared" si="43"/>
        <v>166.06457242582894</v>
      </c>
      <c r="K103" s="2">
        <v>44768</v>
      </c>
      <c r="L103" s="11">
        <v>418.82507500000003</v>
      </c>
      <c r="M103" s="11">
        <v>521.61660000000006</v>
      </c>
      <c r="N103" s="11"/>
      <c r="O103" s="11"/>
      <c r="P103" s="43">
        <f t="shared" si="35"/>
        <v>940.44167500000003</v>
      </c>
      <c r="Q103" s="44">
        <v>5.73</v>
      </c>
      <c r="R103" s="11">
        <f t="shared" si="44"/>
        <v>164.12594677137869</v>
      </c>
      <c r="S103" s="12">
        <f t="shared" si="45"/>
        <v>3.2825189354275741</v>
      </c>
      <c r="T103" s="45">
        <f t="shared" si="38"/>
        <v>3.1649249999999824</v>
      </c>
      <c r="U103" s="45">
        <f t="shared" si="39"/>
        <v>7.9433999999998832</v>
      </c>
      <c r="V103" s="45">
        <f t="shared" si="40"/>
        <v>11.108324999999866</v>
      </c>
      <c r="W103" s="46">
        <v>5.73</v>
      </c>
      <c r="X103" s="46">
        <f t="shared" si="41"/>
        <v>1.9386256544502383</v>
      </c>
      <c r="Y103" s="45">
        <f t="shared" si="47"/>
        <v>2.9557021423122207</v>
      </c>
    </row>
    <row r="104" spans="1:25" x14ac:dyDescent="0.25">
      <c r="A104" s="80"/>
      <c r="B104" s="2">
        <v>44769</v>
      </c>
      <c r="C104" s="11">
        <v>790.9</v>
      </c>
      <c r="D104" s="11">
        <v>806.71</v>
      </c>
      <c r="E104" s="11">
        <v>784.9682499999999</v>
      </c>
      <c r="F104" s="11">
        <v>794.60935000000006</v>
      </c>
      <c r="G104" s="43">
        <f t="shared" si="34"/>
        <v>1597.6100000000001</v>
      </c>
      <c r="H104" s="44">
        <v>5.75</v>
      </c>
      <c r="I104" s="11">
        <f t="shared" si="43"/>
        <v>277.84521739130435</v>
      </c>
      <c r="K104" s="2">
        <v>44769</v>
      </c>
      <c r="L104" s="11">
        <v>784.9682499999999</v>
      </c>
      <c r="M104" s="11">
        <v>794.60935000000006</v>
      </c>
      <c r="N104" s="11"/>
      <c r="O104" s="11"/>
      <c r="P104" s="43">
        <f t="shared" si="35"/>
        <v>1579.5776000000001</v>
      </c>
      <c r="Q104" s="44">
        <v>5.75</v>
      </c>
      <c r="R104" s="11">
        <f t="shared" si="44"/>
        <v>274.70914782608696</v>
      </c>
      <c r="S104" s="12">
        <f t="shared" si="45"/>
        <v>5.4941829565217395</v>
      </c>
      <c r="T104" s="45">
        <f t="shared" si="38"/>
        <v>5.9317500000000791</v>
      </c>
      <c r="U104" s="45">
        <f t="shared" si="39"/>
        <v>12.100649999999973</v>
      </c>
      <c r="V104" s="45">
        <f t="shared" si="40"/>
        <v>18.032400000000052</v>
      </c>
      <c r="W104" s="46">
        <v>5.75</v>
      </c>
      <c r="X104" s="46">
        <f t="shared" si="41"/>
        <v>3.1360695652174004</v>
      </c>
      <c r="Y104" s="45">
        <f t="shared" si="47"/>
        <v>1.8335052461125476</v>
      </c>
    </row>
    <row r="105" spans="1:25" x14ac:dyDescent="0.25">
      <c r="A105" s="80"/>
      <c r="B105" s="2">
        <v>44770</v>
      </c>
      <c r="C105" s="11">
        <v>1099.44</v>
      </c>
      <c r="D105" s="11">
        <v>480.24</v>
      </c>
      <c r="E105" s="11">
        <v>1091.1942000000001</v>
      </c>
      <c r="F105" s="11">
        <v>473.03640000000001</v>
      </c>
      <c r="G105" s="43">
        <f t="shared" si="34"/>
        <v>1579.68</v>
      </c>
      <c r="H105" s="44">
        <v>5.78</v>
      </c>
      <c r="I105" s="11">
        <f t="shared" si="43"/>
        <v>273.30103806228374</v>
      </c>
      <c r="K105" s="2">
        <v>44770</v>
      </c>
      <c r="L105" s="11">
        <v>1091.1942000000001</v>
      </c>
      <c r="M105" s="11">
        <v>473.03640000000001</v>
      </c>
      <c r="N105" s="11"/>
      <c r="O105" s="11"/>
      <c r="P105" s="43">
        <f t="shared" si="35"/>
        <v>1564.2306000000001</v>
      </c>
      <c r="Q105" s="44">
        <v>5.78</v>
      </c>
      <c r="R105" s="11">
        <f t="shared" si="44"/>
        <v>270.62813148788928</v>
      </c>
      <c r="S105" s="12">
        <f t="shared" si="45"/>
        <v>5.4125626297577858</v>
      </c>
      <c r="T105" s="45">
        <f t="shared" si="38"/>
        <v>8.2457999999999174</v>
      </c>
      <c r="U105" s="45">
        <f t="shared" si="39"/>
        <v>7.2035999999999945</v>
      </c>
      <c r="V105" s="45">
        <f t="shared" si="40"/>
        <v>15.449399999999912</v>
      </c>
      <c r="W105" s="46">
        <v>5.78</v>
      </c>
      <c r="X105" s="46">
        <f t="shared" si="41"/>
        <v>2.6729065743944482</v>
      </c>
      <c r="Y105" s="45"/>
    </row>
    <row r="106" spans="1:25" x14ac:dyDescent="0.25">
      <c r="A106" s="20"/>
      <c r="B106" s="2">
        <v>44771</v>
      </c>
      <c r="C106" s="11">
        <v>1359.38</v>
      </c>
      <c r="D106" s="11">
        <v>767.06</v>
      </c>
      <c r="E106" s="11">
        <v>1349.1846500000001</v>
      </c>
      <c r="F106" s="11">
        <v>755.55409999999995</v>
      </c>
      <c r="G106" s="43">
        <f t="shared" si="34"/>
        <v>2126.44</v>
      </c>
      <c r="H106" s="44">
        <v>5.78</v>
      </c>
      <c r="I106" s="11">
        <f t="shared" si="43"/>
        <v>367.89619377162632</v>
      </c>
      <c r="K106" s="2">
        <v>44771</v>
      </c>
      <c r="L106" s="11">
        <v>1349.1846500000001</v>
      </c>
      <c r="M106" s="11">
        <v>755.55409999999995</v>
      </c>
      <c r="N106" s="11"/>
      <c r="O106" s="11"/>
      <c r="P106" s="43">
        <f t="shared" si="35"/>
        <v>2104.73875</v>
      </c>
      <c r="Q106" s="44">
        <v>5.78</v>
      </c>
      <c r="R106" s="11">
        <f t="shared" si="44"/>
        <v>364.14165224913495</v>
      </c>
      <c r="S106" s="12">
        <f t="shared" si="45"/>
        <v>7.2828330449826995</v>
      </c>
      <c r="T106" s="45">
        <f t="shared" si="38"/>
        <v>10.195349999999962</v>
      </c>
      <c r="U106" s="45">
        <f t="shared" si="39"/>
        <v>11.505899999999997</v>
      </c>
      <c r="V106" s="45">
        <f t="shared" si="40"/>
        <v>21.701249999999959</v>
      </c>
      <c r="W106" s="46">
        <v>5.78</v>
      </c>
      <c r="X106" s="46">
        <f t="shared" si="41"/>
        <v>3.7545415224913423</v>
      </c>
      <c r="Y106" s="45">
        <f t="shared" ref="Y106:Y107" si="48">W106/X106</f>
        <v>1.5394689246011204</v>
      </c>
    </row>
    <row r="107" spans="1:25" x14ac:dyDescent="0.25">
      <c r="B107" s="2">
        <v>44772</v>
      </c>
      <c r="C107" s="11">
        <v>1082.6099999999999</v>
      </c>
      <c r="D107" s="11">
        <v>346.06</v>
      </c>
      <c r="E107" s="11">
        <v>1074.49</v>
      </c>
      <c r="F107" s="11">
        <v>340.87</v>
      </c>
      <c r="G107" s="43">
        <f t="shared" si="34"/>
        <v>1428.6699999999998</v>
      </c>
      <c r="H107" s="44">
        <v>5.79</v>
      </c>
      <c r="I107" s="11">
        <f t="shared" si="43"/>
        <v>246.74784110535404</v>
      </c>
      <c r="K107" s="2">
        <v>44772</v>
      </c>
      <c r="L107" s="11">
        <v>1074.49</v>
      </c>
      <c r="M107" s="11">
        <v>340.87</v>
      </c>
      <c r="N107" s="44"/>
      <c r="O107" s="44"/>
      <c r="P107" s="43">
        <f t="shared" si="35"/>
        <v>1415.3600000000001</v>
      </c>
      <c r="Q107" s="44">
        <v>5.79</v>
      </c>
      <c r="R107" s="11">
        <f t="shared" si="44"/>
        <v>244.44905008635581</v>
      </c>
      <c r="S107" s="12">
        <f t="shared" si="45"/>
        <v>4.8889810017271165</v>
      </c>
      <c r="T107" s="45">
        <f t="shared" si="38"/>
        <v>8.1199999999998909</v>
      </c>
      <c r="U107" s="45">
        <f t="shared" si="39"/>
        <v>5.1899999999999977</v>
      </c>
      <c r="V107" s="45">
        <f t="shared" si="40"/>
        <v>13.309999999999889</v>
      </c>
      <c r="W107" s="46">
        <v>5.79</v>
      </c>
      <c r="X107" s="46">
        <f t="shared" si="41"/>
        <v>2.2987910189982537</v>
      </c>
      <c r="Y107" s="45">
        <f t="shared" si="48"/>
        <v>2.5187152516904794</v>
      </c>
    </row>
    <row r="108" spans="1:25" x14ac:dyDescent="0.25">
      <c r="B108" s="2">
        <v>44773</v>
      </c>
      <c r="C108" s="44">
        <v>1554.04</v>
      </c>
      <c r="D108" s="44">
        <v>237.61</v>
      </c>
      <c r="E108" s="44">
        <v>1542.38</v>
      </c>
      <c r="F108" s="44">
        <v>234.05</v>
      </c>
      <c r="G108" s="43">
        <f t="shared" si="34"/>
        <v>1791.65</v>
      </c>
      <c r="H108" s="44">
        <v>5.79</v>
      </c>
      <c r="I108" s="11">
        <f>G108/H108</f>
        <v>309.43868739205527</v>
      </c>
      <c r="K108" s="2">
        <v>44773</v>
      </c>
      <c r="L108" s="44">
        <v>1542.38</v>
      </c>
      <c r="M108" s="44">
        <v>234.05</v>
      </c>
      <c r="N108" s="44"/>
      <c r="O108" s="44"/>
      <c r="P108" s="43">
        <f t="shared" si="35"/>
        <v>1776.43</v>
      </c>
      <c r="Q108" s="44">
        <v>5.79</v>
      </c>
      <c r="R108" s="11">
        <f t="shared" si="44"/>
        <v>306.81001727115716</v>
      </c>
      <c r="S108" s="12">
        <f t="shared" si="45"/>
        <v>6.1362003454231431</v>
      </c>
      <c r="T108" s="45">
        <f>C108-E108</f>
        <v>11.659999999999854</v>
      </c>
      <c r="U108" s="45">
        <f t="shared" si="39"/>
        <v>3.5600000000000023</v>
      </c>
      <c r="V108" s="45">
        <f t="shared" si="40"/>
        <v>15.219999999999857</v>
      </c>
      <c r="W108" s="46">
        <v>5.79</v>
      </c>
      <c r="X108" s="46">
        <f t="shared" si="41"/>
        <v>2.6286701208980756</v>
      </c>
      <c r="Y108" s="45"/>
    </row>
    <row r="109" spans="1:25" x14ac:dyDescent="0.25">
      <c r="G109" s="66">
        <f>SUM(G78:G108)</f>
        <v>36593.5</v>
      </c>
      <c r="H109" s="59"/>
      <c r="I109" s="48">
        <f>SUM(I78:I108)</f>
        <v>6446.738669299144</v>
      </c>
      <c r="P109" s="66">
        <f>SUM(P78:P108)</f>
        <v>36226.968624999987</v>
      </c>
      <c r="Q109" s="59"/>
      <c r="R109" s="11">
        <f>SUM(R78:R108)</f>
        <v>6382.1342401307929</v>
      </c>
      <c r="S109" s="67">
        <f>SUM(S78:S108)</f>
        <v>127.6426848026159</v>
      </c>
      <c r="X109" s="47"/>
    </row>
    <row r="110" spans="1:25" x14ac:dyDescent="0.25">
      <c r="B110" s="68"/>
      <c r="C110" s="51"/>
      <c r="D110" s="51"/>
      <c r="E110" s="68"/>
      <c r="F110" s="69"/>
      <c r="L110" s="23"/>
      <c r="M110" s="44"/>
      <c r="N110" s="11"/>
      <c r="O110" s="11"/>
      <c r="Q110" s="47"/>
      <c r="S110" s="45"/>
      <c r="V110" s="47">
        <f>SUM(V80:V109)</f>
        <v>348.76137499999942</v>
      </c>
    </row>
    <row r="111" spans="1:25" x14ac:dyDescent="0.25">
      <c r="A111" s="13" t="s">
        <v>54</v>
      </c>
      <c r="B111" s="14"/>
      <c r="C111" s="15"/>
      <c r="D111" s="15"/>
      <c r="E111" s="16"/>
      <c r="J111" t="s">
        <v>54</v>
      </c>
      <c r="K111" s="13"/>
      <c r="L111" s="14"/>
      <c r="M111" s="15"/>
      <c r="N111" s="15"/>
      <c r="O111" s="16"/>
    </row>
    <row r="112" spans="1:25" ht="45" x14ac:dyDescent="0.25">
      <c r="A112" s="49" t="s">
        <v>0</v>
      </c>
      <c r="B112" s="49" t="s">
        <v>55</v>
      </c>
      <c r="C112" s="49" t="s">
        <v>56</v>
      </c>
      <c r="D112" s="49" t="s">
        <v>55</v>
      </c>
      <c r="E112" s="49" t="s">
        <v>56</v>
      </c>
      <c r="F112" s="49" t="s">
        <v>7</v>
      </c>
      <c r="G112" s="52" t="s">
        <v>9</v>
      </c>
      <c r="H112" s="52" t="s">
        <v>6</v>
      </c>
      <c r="J112" s="49" t="s">
        <v>0</v>
      </c>
      <c r="K112" s="49" t="s">
        <v>55</v>
      </c>
      <c r="L112" s="49" t="s">
        <v>56</v>
      </c>
      <c r="M112" s="49" t="s">
        <v>55</v>
      </c>
      <c r="N112" s="49" t="s">
        <v>56</v>
      </c>
      <c r="O112" s="49" t="s">
        <v>7</v>
      </c>
      <c r="P112" s="52" t="s">
        <v>9</v>
      </c>
      <c r="Q112" s="52" t="s">
        <v>6</v>
      </c>
      <c r="R112" s="53" t="s">
        <v>27</v>
      </c>
      <c r="U112" s="51"/>
      <c r="V112" s="51"/>
    </row>
    <row r="113" spans="1:24" x14ac:dyDescent="0.25">
      <c r="A113" s="54">
        <v>44743</v>
      </c>
      <c r="B113" s="55">
        <f>'[3]DIA 1'!$R$73+'[3]DIA 1'!$R$74</f>
        <v>973.12</v>
      </c>
      <c r="C113" s="55"/>
      <c r="D113" s="55">
        <f>965.82</f>
        <v>965.82</v>
      </c>
      <c r="E113" s="55"/>
      <c r="F113" s="55">
        <f>B113+C113</f>
        <v>973.12</v>
      </c>
      <c r="G113" s="56">
        <v>5.56</v>
      </c>
      <c r="H113" s="56">
        <f>F113/G113</f>
        <v>175.02158273381295</v>
      </c>
      <c r="J113" s="54">
        <v>44743</v>
      </c>
      <c r="K113" s="55">
        <v>965.82</v>
      </c>
      <c r="L113" s="55"/>
      <c r="M113" s="55"/>
      <c r="N113" s="55"/>
      <c r="O113" s="55">
        <f>K113+L113</f>
        <v>965.82</v>
      </c>
      <c r="P113" s="56">
        <v>5.56</v>
      </c>
      <c r="Q113" s="56">
        <f>O113/P113</f>
        <v>173.70863309352521</v>
      </c>
      <c r="R113" s="56">
        <f>Q113*2%</f>
        <v>3.4741726618705044</v>
      </c>
      <c r="T113" s="46">
        <f>B113-D113</f>
        <v>7.2999999999999545</v>
      </c>
      <c r="U113" s="57">
        <f>C113-E113</f>
        <v>0</v>
      </c>
      <c r="V113" s="38">
        <f>T113+U113</f>
        <v>7.2999999999999545</v>
      </c>
      <c r="W113">
        <v>5.56</v>
      </c>
      <c r="X113" s="47">
        <f>V113/W113</f>
        <v>1.3129496402877616</v>
      </c>
    </row>
    <row r="114" spans="1:24" x14ac:dyDescent="0.25">
      <c r="A114" s="54">
        <v>44744</v>
      </c>
      <c r="B114" s="55">
        <v>1511.14</v>
      </c>
      <c r="C114" s="55">
        <v>8.9499999999999993</v>
      </c>
      <c r="D114" s="55">
        <v>1499.81</v>
      </c>
      <c r="E114" s="55"/>
      <c r="F114" s="55">
        <f t="shared" ref="F114:F143" si="49">B114+C114</f>
        <v>1520.0900000000001</v>
      </c>
      <c r="G114" s="56">
        <v>5.56</v>
      </c>
      <c r="H114" s="56">
        <f t="shared" ref="H114:H143" si="50">F114/G114</f>
        <v>273.39748201438852</v>
      </c>
      <c r="J114" s="54">
        <v>44744</v>
      </c>
      <c r="K114" s="55">
        <v>1499.81</v>
      </c>
      <c r="L114" s="55"/>
      <c r="M114" s="55"/>
      <c r="N114" s="55"/>
      <c r="O114" s="55">
        <f t="shared" ref="O114:O143" si="51">K114+L114</f>
        <v>1499.81</v>
      </c>
      <c r="P114" s="56">
        <v>5.56</v>
      </c>
      <c r="Q114" s="56">
        <f t="shared" ref="Q114:Q143" si="52">O114/P114</f>
        <v>269.75</v>
      </c>
      <c r="R114" s="56">
        <f t="shared" ref="R114:R143" si="53">Q114*2%</f>
        <v>5.3950000000000005</v>
      </c>
      <c r="T114" s="46">
        <f t="shared" ref="T114:T122" si="54">B114-D114</f>
        <v>11.330000000000155</v>
      </c>
      <c r="U114" s="57">
        <f t="shared" ref="U114:U122" si="55">C114-E114</f>
        <v>8.9499999999999993</v>
      </c>
      <c r="V114" s="38">
        <f t="shared" ref="V114:V122" si="56">T114+U114</f>
        <v>20.280000000000154</v>
      </c>
      <c r="W114">
        <v>5.56</v>
      </c>
      <c r="X114" s="47">
        <f t="shared" ref="X114:X143" si="57">V114/W114</f>
        <v>3.6474820143885172</v>
      </c>
    </row>
    <row r="115" spans="1:24" x14ac:dyDescent="0.25">
      <c r="A115" s="54">
        <v>44745</v>
      </c>
      <c r="B115" s="55">
        <f>832.05+743.72</f>
        <v>1575.77</v>
      </c>
      <c r="C115" s="55"/>
      <c r="D115" s="55">
        <f>825.81+738.14</f>
        <v>1563.9499999999998</v>
      </c>
      <c r="E115" s="55"/>
      <c r="F115" s="55">
        <f t="shared" si="49"/>
        <v>1575.77</v>
      </c>
      <c r="G115" s="56">
        <v>5.56</v>
      </c>
      <c r="H115" s="56">
        <f t="shared" si="50"/>
        <v>283.41187050359713</v>
      </c>
      <c r="J115" s="54">
        <v>44745</v>
      </c>
      <c r="K115" s="55">
        <v>1563.9499999999998</v>
      </c>
      <c r="L115" s="55"/>
      <c r="M115" s="55"/>
      <c r="N115" s="55"/>
      <c r="O115" s="55">
        <f t="shared" si="51"/>
        <v>1563.9499999999998</v>
      </c>
      <c r="P115" s="56">
        <v>5.56</v>
      </c>
      <c r="Q115" s="56">
        <f t="shared" si="52"/>
        <v>281.28597122302159</v>
      </c>
      <c r="R115" s="56">
        <f t="shared" si="53"/>
        <v>5.6257194244604323</v>
      </c>
      <c r="T115" s="46">
        <f t="shared" si="54"/>
        <v>11.820000000000164</v>
      </c>
      <c r="U115" s="57">
        <f t="shared" si="55"/>
        <v>0</v>
      </c>
      <c r="V115" s="38">
        <f t="shared" si="56"/>
        <v>11.820000000000164</v>
      </c>
      <c r="W115">
        <v>5.56</v>
      </c>
      <c r="X115" s="47">
        <f t="shared" si="57"/>
        <v>2.125899280575569</v>
      </c>
    </row>
    <row r="116" spans="1:24" x14ac:dyDescent="0.25">
      <c r="A116" s="54">
        <v>44746</v>
      </c>
      <c r="B116" s="55">
        <v>1002.93</v>
      </c>
      <c r="C116" s="55"/>
      <c r="D116" s="55">
        <v>995.41</v>
      </c>
      <c r="E116" s="55"/>
      <c r="F116" s="55">
        <f t="shared" si="49"/>
        <v>1002.93</v>
      </c>
      <c r="G116" s="56">
        <v>5.56</v>
      </c>
      <c r="H116" s="56">
        <f t="shared" si="50"/>
        <v>180.38309352517987</v>
      </c>
      <c r="J116" s="54">
        <v>44746</v>
      </c>
      <c r="K116" s="55">
        <v>995.41</v>
      </c>
      <c r="L116" s="55"/>
      <c r="M116" s="55"/>
      <c r="N116" s="55"/>
      <c r="O116" s="55">
        <f t="shared" si="51"/>
        <v>995.41</v>
      </c>
      <c r="P116" s="56">
        <v>5.56</v>
      </c>
      <c r="Q116" s="56">
        <f t="shared" si="52"/>
        <v>179.03057553956836</v>
      </c>
      <c r="R116" s="56">
        <f t="shared" si="53"/>
        <v>3.5806115107913672</v>
      </c>
      <c r="T116" s="46">
        <f t="shared" si="54"/>
        <v>7.5199999999999818</v>
      </c>
      <c r="U116" s="57">
        <f t="shared" si="55"/>
        <v>0</v>
      </c>
      <c r="V116" s="38">
        <f t="shared" si="56"/>
        <v>7.5199999999999818</v>
      </c>
      <c r="W116">
        <v>5.56</v>
      </c>
      <c r="X116" s="47">
        <f t="shared" si="57"/>
        <v>1.3525179856115077</v>
      </c>
    </row>
    <row r="117" spans="1:24" x14ac:dyDescent="0.25">
      <c r="A117" s="54">
        <v>44747</v>
      </c>
      <c r="B117" s="55">
        <v>915.51</v>
      </c>
      <c r="C117" s="55"/>
      <c r="D117" s="55">
        <v>908.64</v>
      </c>
      <c r="E117" s="55"/>
      <c r="F117" s="55">
        <f t="shared" si="49"/>
        <v>915.51</v>
      </c>
      <c r="G117" s="56">
        <v>5.56</v>
      </c>
      <c r="H117" s="56">
        <f t="shared" si="50"/>
        <v>164.66007194244605</v>
      </c>
      <c r="J117" s="54">
        <v>44747</v>
      </c>
      <c r="K117" s="55">
        <v>908.64</v>
      </c>
      <c r="L117" s="55"/>
      <c r="M117" s="55"/>
      <c r="N117" s="55"/>
      <c r="O117" s="55">
        <f t="shared" si="51"/>
        <v>908.64</v>
      </c>
      <c r="P117" s="56">
        <v>5.56</v>
      </c>
      <c r="Q117" s="56">
        <f t="shared" si="52"/>
        <v>163.42446043165469</v>
      </c>
      <c r="R117" s="56">
        <f t="shared" si="53"/>
        <v>3.2684892086330941</v>
      </c>
      <c r="T117" s="46">
        <f t="shared" si="54"/>
        <v>6.8700000000000045</v>
      </c>
      <c r="U117" s="57">
        <f t="shared" si="55"/>
        <v>0</v>
      </c>
      <c r="V117" s="38">
        <f t="shared" si="56"/>
        <v>6.8700000000000045</v>
      </c>
      <c r="W117">
        <v>5.56</v>
      </c>
      <c r="X117" s="47">
        <f t="shared" si="57"/>
        <v>1.2356115107913679</v>
      </c>
    </row>
    <row r="118" spans="1:24" x14ac:dyDescent="0.25">
      <c r="A118" s="54">
        <v>44748</v>
      </c>
      <c r="B118" s="55">
        <v>602.59</v>
      </c>
      <c r="C118" s="55"/>
      <c r="D118" s="55">
        <v>598.07000000000005</v>
      </c>
      <c r="E118" s="55"/>
      <c r="F118" s="55">
        <f t="shared" si="49"/>
        <v>602.59</v>
      </c>
      <c r="G118" s="56">
        <v>5.56</v>
      </c>
      <c r="H118" s="56">
        <f t="shared" si="50"/>
        <v>108.37949640287771</v>
      </c>
      <c r="J118" s="54">
        <v>44748</v>
      </c>
      <c r="K118" s="55">
        <v>598.07000000000005</v>
      </c>
      <c r="L118" s="55"/>
      <c r="M118" s="55"/>
      <c r="N118" s="55"/>
      <c r="O118" s="55">
        <f t="shared" si="51"/>
        <v>598.07000000000005</v>
      </c>
      <c r="P118" s="56">
        <v>5.56</v>
      </c>
      <c r="Q118" s="56">
        <f t="shared" si="52"/>
        <v>107.56654676258995</v>
      </c>
      <c r="R118" s="56">
        <f t="shared" si="53"/>
        <v>2.1513309352517989</v>
      </c>
      <c r="T118" s="46">
        <f t="shared" si="54"/>
        <v>4.5199999999999818</v>
      </c>
      <c r="U118" s="57">
        <f t="shared" si="55"/>
        <v>0</v>
      </c>
      <c r="V118" s="38">
        <f t="shared" si="56"/>
        <v>4.5199999999999818</v>
      </c>
      <c r="W118">
        <v>5.56</v>
      </c>
      <c r="X118" s="47">
        <f t="shared" si="57"/>
        <v>0.81294964028776662</v>
      </c>
    </row>
    <row r="119" spans="1:24" x14ac:dyDescent="0.25">
      <c r="A119" s="54">
        <v>44749</v>
      </c>
      <c r="B119" s="55">
        <f>785.2+705.66</f>
        <v>1490.8600000000001</v>
      </c>
      <c r="C119" s="55">
        <f>21.85+98.9</f>
        <v>120.75</v>
      </c>
      <c r="D119" s="55">
        <f>779.31+700.37</f>
        <v>1479.6799999999998</v>
      </c>
      <c r="E119" s="55">
        <f>20.36+92.16</f>
        <v>112.52</v>
      </c>
      <c r="F119" s="55">
        <f t="shared" si="49"/>
        <v>1611.6100000000001</v>
      </c>
      <c r="G119" s="56">
        <v>5.57</v>
      </c>
      <c r="H119" s="56">
        <f t="shared" si="50"/>
        <v>289.33752244165169</v>
      </c>
      <c r="J119" s="54">
        <v>44749</v>
      </c>
      <c r="K119" s="55">
        <v>1479.6799999999998</v>
      </c>
      <c r="L119" s="55">
        <v>112.52</v>
      </c>
      <c r="M119" s="55"/>
      <c r="N119" s="55"/>
      <c r="O119" s="55">
        <f t="shared" si="51"/>
        <v>1592.1999999999998</v>
      </c>
      <c r="P119" s="56">
        <v>5.57</v>
      </c>
      <c r="Q119" s="56">
        <f t="shared" si="52"/>
        <v>285.85278276481142</v>
      </c>
      <c r="R119" s="56">
        <f t="shared" si="53"/>
        <v>5.7170556552962282</v>
      </c>
      <c r="T119" s="46">
        <f t="shared" si="54"/>
        <v>11.180000000000291</v>
      </c>
      <c r="U119" s="57">
        <f t="shared" si="55"/>
        <v>8.230000000000004</v>
      </c>
      <c r="V119" s="38">
        <f t="shared" si="56"/>
        <v>19.410000000000295</v>
      </c>
      <c r="W119">
        <v>5.57</v>
      </c>
      <c r="X119" s="47">
        <f t="shared" si="57"/>
        <v>3.4847396768402681</v>
      </c>
    </row>
    <row r="120" spans="1:24" x14ac:dyDescent="0.25">
      <c r="A120" s="54">
        <v>44750</v>
      </c>
      <c r="B120" s="55">
        <f>1988.19</f>
        <v>1988.19</v>
      </c>
      <c r="C120" s="55"/>
      <c r="D120" s="55">
        <v>1973.28</v>
      </c>
      <c r="E120" s="55"/>
      <c r="F120" s="55">
        <f t="shared" si="49"/>
        <v>1988.19</v>
      </c>
      <c r="G120" s="56">
        <v>5.61</v>
      </c>
      <c r="H120" s="56">
        <f t="shared" si="50"/>
        <v>354.40106951871655</v>
      </c>
      <c r="J120" s="54">
        <v>44750</v>
      </c>
      <c r="K120" s="55">
        <v>1973.28</v>
      </c>
      <c r="L120" s="55"/>
      <c r="M120" s="55"/>
      <c r="N120" s="55"/>
      <c r="O120" s="55">
        <f t="shared" si="51"/>
        <v>1973.28</v>
      </c>
      <c r="P120" s="56">
        <v>5.61</v>
      </c>
      <c r="Q120" s="56">
        <f t="shared" si="52"/>
        <v>351.74331550802134</v>
      </c>
      <c r="R120" s="56">
        <f t="shared" si="53"/>
        <v>7.0348663101604272</v>
      </c>
      <c r="T120" s="46">
        <f t="shared" si="54"/>
        <v>14.910000000000082</v>
      </c>
      <c r="U120" s="57">
        <f t="shared" si="55"/>
        <v>0</v>
      </c>
      <c r="V120" s="38">
        <f t="shared" si="56"/>
        <v>14.910000000000082</v>
      </c>
      <c r="W120">
        <v>5.61</v>
      </c>
      <c r="X120" s="47">
        <f t="shared" si="57"/>
        <v>2.6577540106952018</v>
      </c>
    </row>
    <row r="121" spans="1:24" x14ac:dyDescent="0.25">
      <c r="A121" s="54">
        <v>44751</v>
      </c>
      <c r="B121" s="55">
        <f>1583.68+1721.18</f>
        <v>3304.86</v>
      </c>
      <c r="C121" s="55"/>
      <c r="D121" s="55">
        <f>1571.8+1708.27</f>
        <v>3280.0699999999997</v>
      </c>
      <c r="E121" s="55"/>
      <c r="F121" s="55">
        <f t="shared" si="49"/>
        <v>3304.86</v>
      </c>
      <c r="G121" s="56">
        <v>5.61</v>
      </c>
      <c r="H121" s="56">
        <f t="shared" si="50"/>
        <v>589.10160427807489</v>
      </c>
      <c r="J121" s="54">
        <v>44751</v>
      </c>
      <c r="K121" s="55">
        <v>3280.0699999999997</v>
      </c>
      <c r="L121" s="55"/>
      <c r="M121" s="55"/>
      <c r="N121" s="55"/>
      <c r="O121" s="55">
        <f t="shared" si="51"/>
        <v>3280.0699999999997</v>
      </c>
      <c r="P121" s="56">
        <v>5.61</v>
      </c>
      <c r="Q121" s="56">
        <f t="shared" si="52"/>
        <v>584.68270944741528</v>
      </c>
      <c r="R121" s="56">
        <f t="shared" si="53"/>
        <v>11.693654188948306</v>
      </c>
      <c r="T121" s="46">
        <f t="shared" si="54"/>
        <v>24.790000000000418</v>
      </c>
      <c r="U121" s="57">
        <f t="shared" si="55"/>
        <v>0</v>
      </c>
      <c r="V121" s="38">
        <f t="shared" si="56"/>
        <v>24.790000000000418</v>
      </c>
      <c r="W121">
        <v>5.61</v>
      </c>
      <c r="X121" s="47">
        <f t="shared" si="57"/>
        <v>4.4188948306596112</v>
      </c>
    </row>
    <row r="122" spans="1:24" x14ac:dyDescent="0.25">
      <c r="A122" s="54">
        <v>44752</v>
      </c>
      <c r="B122" s="55">
        <f>1814.17</f>
        <v>1814.17</v>
      </c>
      <c r="C122" s="55">
        <v>154.30000000000001</v>
      </c>
      <c r="D122" s="55">
        <v>1800.56</v>
      </c>
      <c r="E122" s="55">
        <v>143.79</v>
      </c>
      <c r="F122" s="55">
        <f t="shared" si="49"/>
        <v>1968.47</v>
      </c>
      <c r="G122" s="56">
        <v>5.61</v>
      </c>
      <c r="H122" s="56">
        <f t="shared" si="50"/>
        <v>350.88591800356505</v>
      </c>
      <c r="J122" s="54">
        <v>44752</v>
      </c>
      <c r="K122" s="55">
        <v>1800.56</v>
      </c>
      <c r="L122" s="55">
        <v>143.79</v>
      </c>
      <c r="M122" s="55"/>
      <c r="N122" s="55"/>
      <c r="O122" s="55">
        <f t="shared" si="51"/>
        <v>1944.35</v>
      </c>
      <c r="P122" s="56">
        <v>5.61</v>
      </c>
      <c r="Q122" s="56">
        <f t="shared" si="52"/>
        <v>346.58645276292333</v>
      </c>
      <c r="R122" s="56">
        <f t="shared" si="53"/>
        <v>6.9317290552584669</v>
      </c>
      <c r="T122" s="46">
        <f t="shared" si="54"/>
        <v>13.610000000000127</v>
      </c>
      <c r="U122" s="57">
        <f t="shared" si="55"/>
        <v>10.510000000000019</v>
      </c>
      <c r="V122" s="38">
        <f t="shared" si="56"/>
        <v>24.120000000000147</v>
      </c>
      <c r="W122">
        <v>5.61</v>
      </c>
      <c r="X122" s="47">
        <f t="shared" si="57"/>
        <v>4.2994652406417373</v>
      </c>
    </row>
    <row r="123" spans="1:24" x14ac:dyDescent="0.25">
      <c r="A123" s="54">
        <v>44753</v>
      </c>
      <c r="B123" s="55">
        <f>1105.89+805.23</f>
        <v>1911.1200000000001</v>
      </c>
      <c r="C123" s="55"/>
      <c r="D123" s="55">
        <f>799.19+1097.6</f>
        <v>1896.79</v>
      </c>
      <c r="E123" s="55"/>
      <c r="F123" s="55">
        <f t="shared" si="49"/>
        <v>1911.1200000000001</v>
      </c>
      <c r="G123" s="56">
        <v>5.61</v>
      </c>
      <c r="H123" s="56">
        <f t="shared" si="50"/>
        <v>340.6631016042781</v>
      </c>
      <c r="J123" s="54">
        <v>44753</v>
      </c>
      <c r="K123" s="55">
        <v>1896.79</v>
      </c>
      <c r="L123" s="55"/>
      <c r="M123" s="55"/>
      <c r="N123" s="55"/>
      <c r="O123" s="55">
        <f t="shared" si="51"/>
        <v>1896.79</v>
      </c>
      <c r="P123" s="56">
        <v>5.61</v>
      </c>
      <c r="Q123" s="56">
        <f t="shared" si="52"/>
        <v>338.10873440285201</v>
      </c>
      <c r="R123" s="56">
        <f t="shared" si="53"/>
        <v>6.7621746880570406</v>
      </c>
      <c r="T123" s="46">
        <f>B123-D123</f>
        <v>14.330000000000155</v>
      </c>
      <c r="U123" s="57">
        <f>C123-E123</f>
        <v>0</v>
      </c>
      <c r="V123" s="38">
        <f>T123+U123</f>
        <v>14.330000000000155</v>
      </c>
      <c r="W123">
        <v>5.61</v>
      </c>
      <c r="X123" s="47">
        <f t="shared" si="57"/>
        <v>2.5543672014260523</v>
      </c>
    </row>
    <row r="124" spans="1:24" x14ac:dyDescent="0.25">
      <c r="A124" s="54">
        <v>44754</v>
      </c>
      <c r="B124" s="55">
        <f>1888.11</f>
        <v>1888.11</v>
      </c>
      <c r="C124" s="55"/>
      <c r="D124" s="55">
        <v>1873.95</v>
      </c>
      <c r="E124" s="55"/>
      <c r="F124" s="55">
        <f t="shared" si="49"/>
        <v>1888.11</v>
      </c>
      <c r="G124" s="56">
        <v>5.62</v>
      </c>
      <c r="H124" s="56">
        <f t="shared" si="50"/>
        <v>335.96263345195729</v>
      </c>
      <c r="J124" s="54">
        <v>44754</v>
      </c>
      <c r="K124" s="55">
        <v>1873.95</v>
      </c>
      <c r="L124" s="55"/>
      <c r="M124" s="55"/>
      <c r="N124" s="55"/>
      <c r="O124" s="55">
        <f t="shared" si="51"/>
        <v>1873.95</v>
      </c>
      <c r="P124" s="56">
        <v>5.62</v>
      </c>
      <c r="Q124" s="56">
        <f t="shared" si="52"/>
        <v>333.44306049822063</v>
      </c>
      <c r="R124" s="56">
        <f t="shared" si="53"/>
        <v>6.6688612099644127</v>
      </c>
      <c r="T124" s="46">
        <f t="shared" ref="T124:T143" si="58">B124-D124</f>
        <v>14.159999999999854</v>
      </c>
      <c r="U124" s="57">
        <f t="shared" ref="U124:U143" si="59">C124-E124</f>
        <v>0</v>
      </c>
      <c r="V124" s="38">
        <f t="shared" ref="V124:V143" si="60">T124+U124</f>
        <v>14.159999999999854</v>
      </c>
      <c r="W124">
        <v>5.62</v>
      </c>
      <c r="X124" s="47">
        <f t="shared" si="57"/>
        <v>2.5195729537366289</v>
      </c>
    </row>
    <row r="125" spans="1:24" x14ac:dyDescent="0.25">
      <c r="A125" s="54">
        <v>44755</v>
      </c>
      <c r="B125" s="55">
        <v>2049.1</v>
      </c>
      <c r="C125" s="55"/>
      <c r="D125" s="55">
        <v>2033.73</v>
      </c>
      <c r="E125" s="55"/>
      <c r="F125" s="55">
        <f t="shared" si="49"/>
        <v>2049.1</v>
      </c>
      <c r="G125" s="56">
        <v>5.66</v>
      </c>
      <c r="H125" s="56">
        <f t="shared" si="50"/>
        <v>362.03180212014132</v>
      </c>
      <c r="J125" s="54">
        <v>44755</v>
      </c>
      <c r="K125" s="55">
        <v>2033.73</v>
      </c>
      <c r="L125" s="55"/>
      <c r="M125" s="55"/>
      <c r="N125" s="55"/>
      <c r="O125" s="55">
        <f t="shared" si="51"/>
        <v>2033.73</v>
      </c>
      <c r="P125" s="56">
        <v>5.66</v>
      </c>
      <c r="Q125" s="56">
        <f t="shared" si="52"/>
        <v>359.3162544169611</v>
      </c>
      <c r="R125" s="56">
        <f t="shared" si="53"/>
        <v>7.1863250883392222</v>
      </c>
      <c r="T125" s="46">
        <f t="shared" si="58"/>
        <v>15.369999999999891</v>
      </c>
      <c r="U125" s="57">
        <f t="shared" si="59"/>
        <v>0</v>
      </c>
      <c r="V125" s="38">
        <f t="shared" si="60"/>
        <v>15.369999999999891</v>
      </c>
      <c r="W125">
        <v>5.66</v>
      </c>
      <c r="X125" s="47">
        <f t="shared" si="57"/>
        <v>2.7155477031801927</v>
      </c>
    </row>
    <row r="126" spans="1:24" x14ac:dyDescent="0.25">
      <c r="A126" s="54">
        <v>44756</v>
      </c>
      <c r="B126" s="55">
        <v>2037.99</v>
      </c>
      <c r="C126" s="55"/>
      <c r="D126" s="55">
        <v>2022.71</v>
      </c>
      <c r="E126" s="55"/>
      <c r="F126" s="55">
        <f t="shared" si="49"/>
        <v>2037.99</v>
      </c>
      <c r="G126" s="56">
        <v>5.68</v>
      </c>
      <c r="H126" s="56">
        <f t="shared" si="50"/>
        <v>358.80105633802816</v>
      </c>
      <c r="J126" s="54">
        <v>44756</v>
      </c>
      <c r="K126" s="55">
        <v>2022.71</v>
      </c>
      <c r="L126" s="55"/>
      <c r="M126" s="55"/>
      <c r="N126" s="55"/>
      <c r="O126" s="55">
        <f t="shared" si="51"/>
        <v>2022.71</v>
      </c>
      <c r="P126" s="56">
        <v>5.68</v>
      </c>
      <c r="Q126" s="56">
        <f t="shared" si="52"/>
        <v>356.11091549295776</v>
      </c>
      <c r="R126" s="56">
        <f t="shared" si="53"/>
        <v>7.1222183098591554</v>
      </c>
      <c r="T126" s="46">
        <f t="shared" si="58"/>
        <v>15.279999999999973</v>
      </c>
      <c r="U126" s="57">
        <f t="shared" si="59"/>
        <v>0</v>
      </c>
      <c r="V126" s="38">
        <f t="shared" si="60"/>
        <v>15.279999999999973</v>
      </c>
      <c r="W126">
        <v>5.68</v>
      </c>
      <c r="X126" s="47">
        <f t="shared" si="57"/>
        <v>2.6901408450704181</v>
      </c>
    </row>
    <row r="127" spans="1:24" x14ac:dyDescent="0.25">
      <c r="A127" s="54">
        <v>44757</v>
      </c>
      <c r="B127" s="55">
        <v>1846.96</v>
      </c>
      <c r="C127" s="55"/>
      <c r="D127" s="55">
        <v>1833.11</v>
      </c>
      <c r="E127" s="55"/>
      <c r="F127" s="55">
        <f t="shared" si="49"/>
        <v>1846.96</v>
      </c>
      <c r="G127" s="56">
        <v>5.7</v>
      </c>
      <c r="H127" s="56">
        <f t="shared" si="50"/>
        <v>324.02807017543859</v>
      </c>
      <c r="J127" s="54">
        <v>44757</v>
      </c>
      <c r="K127" s="55">
        <v>1833.11</v>
      </c>
      <c r="L127" s="55"/>
      <c r="M127" s="55"/>
      <c r="N127" s="55"/>
      <c r="O127" s="55">
        <f t="shared" si="51"/>
        <v>1833.11</v>
      </c>
      <c r="P127" s="56">
        <v>5.7</v>
      </c>
      <c r="Q127" s="56">
        <f t="shared" si="52"/>
        <v>321.59824561403508</v>
      </c>
      <c r="R127" s="56">
        <f t="shared" si="53"/>
        <v>6.4319649122807014</v>
      </c>
      <c r="T127" s="46">
        <f t="shared" si="58"/>
        <v>13.850000000000136</v>
      </c>
      <c r="U127" s="57">
        <f t="shared" si="59"/>
        <v>0</v>
      </c>
      <c r="V127" s="38">
        <f t="shared" si="60"/>
        <v>13.850000000000136</v>
      </c>
      <c r="W127">
        <v>5.7</v>
      </c>
      <c r="X127" s="47">
        <f t="shared" si="57"/>
        <v>2.4298245614035325</v>
      </c>
    </row>
    <row r="128" spans="1:24" x14ac:dyDescent="0.25">
      <c r="A128" s="54">
        <v>44758</v>
      </c>
      <c r="B128" s="55">
        <f>905.23+1387.11</f>
        <v>2292.34</v>
      </c>
      <c r="C128" s="55"/>
      <c r="D128" s="55">
        <f>898.44+1376.71</f>
        <v>2275.15</v>
      </c>
      <c r="E128" s="55"/>
      <c r="F128" s="55">
        <f t="shared" si="49"/>
        <v>2292.34</v>
      </c>
      <c r="G128" s="56">
        <v>5.7</v>
      </c>
      <c r="H128" s="56">
        <f t="shared" si="50"/>
        <v>402.16491228070174</v>
      </c>
      <c r="J128" s="54">
        <v>44758</v>
      </c>
      <c r="K128" s="55">
        <v>2275.15</v>
      </c>
      <c r="L128" s="55"/>
      <c r="M128" s="55"/>
      <c r="N128" s="55"/>
      <c r="O128" s="55">
        <f t="shared" si="51"/>
        <v>2275.15</v>
      </c>
      <c r="P128" s="56">
        <v>5.7</v>
      </c>
      <c r="Q128" s="56">
        <f t="shared" si="52"/>
        <v>399.14912280701753</v>
      </c>
      <c r="R128" s="56">
        <f t="shared" si="53"/>
        <v>7.9829824561403511</v>
      </c>
      <c r="T128" s="46">
        <f t="shared" si="58"/>
        <v>17.190000000000055</v>
      </c>
      <c r="U128" s="57">
        <f t="shared" si="59"/>
        <v>0</v>
      </c>
      <c r="V128" s="38">
        <f t="shared" si="60"/>
        <v>17.190000000000055</v>
      </c>
      <c r="W128">
        <v>5.7</v>
      </c>
      <c r="X128" s="47">
        <f t="shared" si="57"/>
        <v>3.0157894736842201</v>
      </c>
    </row>
    <row r="129" spans="1:24" x14ac:dyDescent="0.25">
      <c r="A129" s="54">
        <v>44759</v>
      </c>
      <c r="B129" s="55">
        <v>1119.28</v>
      </c>
      <c r="C129" s="55"/>
      <c r="D129" s="55">
        <v>1110.8900000000001</v>
      </c>
      <c r="E129" s="55"/>
      <c r="F129" s="55">
        <f t="shared" si="49"/>
        <v>1119.28</v>
      </c>
      <c r="G129" s="56">
        <v>5.7</v>
      </c>
      <c r="H129" s="56">
        <f t="shared" si="50"/>
        <v>196.36491228070173</v>
      </c>
      <c r="J129" s="54">
        <v>44759</v>
      </c>
      <c r="K129" s="55">
        <v>1110.8900000000001</v>
      </c>
      <c r="L129" s="55"/>
      <c r="M129" s="55"/>
      <c r="N129" s="55"/>
      <c r="O129" s="55">
        <f t="shared" si="51"/>
        <v>1110.8900000000001</v>
      </c>
      <c r="P129" s="56">
        <v>5.7</v>
      </c>
      <c r="Q129" s="56">
        <f t="shared" si="52"/>
        <v>194.89298245614037</v>
      </c>
      <c r="R129" s="56">
        <f t="shared" si="53"/>
        <v>3.8978596491228075</v>
      </c>
      <c r="T129" s="46">
        <f t="shared" si="58"/>
        <v>8.3899999999998727</v>
      </c>
      <c r="U129" s="57">
        <f t="shared" si="59"/>
        <v>0</v>
      </c>
      <c r="V129" s="38">
        <f t="shared" si="60"/>
        <v>8.3899999999998727</v>
      </c>
      <c r="W129">
        <v>5.7</v>
      </c>
      <c r="X129" s="47">
        <f t="shared" si="57"/>
        <v>1.4719298245613812</v>
      </c>
    </row>
    <row r="130" spans="1:24" x14ac:dyDescent="0.25">
      <c r="A130" s="54">
        <v>44760</v>
      </c>
      <c r="B130" s="55">
        <v>860.11</v>
      </c>
      <c r="C130" s="55"/>
      <c r="D130" s="55">
        <v>853.66</v>
      </c>
      <c r="E130" s="55"/>
      <c r="F130" s="55">
        <f t="shared" si="49"/>
        <v>860.11</v>
      </c>
      <c r="G130" s="56">
        <v>5.7</v>
      </c>
      <c r="H130" s="56">
        <f t="shared" si="50"/>
        <v>150.89649122807018</v>
      </c>
      <c r="J130" s="54">
        <v>44760</v>
      </c>
      <c r="K130" s="55">
        <v>853.66</v>
      </c>
      <c r="L130" s="55"/>
      <c r="M130" s="55"/>
      <c r="N130" s="55"/>
      <c r="O130" s="55">
        <f t="shared" si="51"/>
        <v>853.66</v>
      </c>
      <c r="P130" s="56">
        <v>5.7</v>
      </c>
      <c r="Q130" s="56">
        <f t="shared" si="52"/>
        <v>149.76491228070174</v>
      </c>
      <c r="R130" s="56">
        <f t="shared" si="53"/>
        <v>2.9952982456140349</v>
      </c>
      <c r="T130" s="46">
        <f t="shared" si="58"/>
        <v>6.4500000000000455</v>
      </c>
      <c r="U130" s="57">
        <f t="shared" si="59"/>
        <v>0</v>
      </c>
      <c r="V130" s="38">
        <f t="shared" si="60"/>
        <v>6.4500000000000455</v>
      </c>
      <c r="W130">
        <v>5.7</v>
      </c>
      <c r="X130" s="47">
        <f t="shared" si="57"/>
        <v>1.131578947368429</v>
      </c>
    </row>
    <row r="131" spans="1:24" x14ac:dyDescent="0.25">
      <c r="A131" s="54">
        <v>44761</v>
      </c>
      <c r="B131" s="55">
        <v>930.6</v>
      </c>
      <c r="C131" s="55">
        <v>14.54</v>
      </c>
      <c r="D131" s="55">
        <v>923.62</v>
      </c>
      <c r="E131" s="55">
        <v>13.55</v>
      </c>
      <c r="F131" s="55">
        <f t="shared" si="49"/>
        <v>945.14</v>
      </c>
      <c r="G131" s="56">
        <v>5.7</v>
      </c>
      <c r="H131" s="56">
        <f t="shared" si="50"/>
        <v>165.8140350877193</v>
      </c>
      <c r="J131" s="54">
        <v>44761</v>
      </c>
      <c r="K131" s="55">
        <v>923.62</v>
      </c>
      <c r="L131" s="55">
        <v>13.55</v>
      </c>
      <c r="M131" s="55"/>
      <c r="N131" s="55"/>
      <c r="O131" s="55">
        <f t="shared" si="51"/>
        <v>937.17</v>
      </c>
      <c r="P131" s="56">
        <v>5.7</v>
      </c>
      <c r="Q131" s="56">
        <f t="shared" si="52"/>
        <v>164.41578947368419</v>
      </c>
      <c r="R131" s="56">
        <f t="shared" si="53"/>
        <v>3.2883157894736836</v>
      </c>
      <c r="T131" s="46">
        <f t="shared" si="58"/>
        <v>6.9800000000000182</v>
      </c>
      <c r="U131" s="57">
        <f t="shared" si="59"/>
        <v>0.98999999999999844</v>
      </c>
      <c r="V131" s="38">
        <f t="shared" si="60"/>
        <v>7.9700000000000166</v>
      </c>
      <c r="W131">
        <v>5.7</v>
      </c>
      <c r="X131" s="47">
        <f t="shared" si="57"/>
        <v>1.3982456140350905</v>
      </c>
    </row>
    <row r="132" spans="1:24" x14ac:dyDescent="0.25">
      <c r="A132" s="54">
        <v>44762</v>
      </c>
      <c r="B132" s="55">
        <v>1963.64</v>
      </c>
      <c r="C132" s="55"/>
      <c r="D132" s="55">
        <v>1948.91</v>
      </c>
      <c r="E132" s="55"/>
      <c r="F132" s="55">
        <f t="shared" si="49"/>
        <v>1963.64</v>
      </c>
      <c r="G132" s="56">
        <v>5.7</v>
      </c>
      <c r="H132" s="56">
        <f t="shared" si="50"/>
        <v>344.49824561403511</v>
      </c>
      <c r="J132" s="54">
        <v>44762</v>
      </c>
      <c r="K132" s="55">
        <v>1948.91</v>
      </c>
      <c r="L132" s="55"/>
      <c r="M132" s="55"/>
      <c r="N132" s="55"/>
      <c r="O132" s="55">
        <f t="shared" si="51"/>
        <v>1948.91</v>
      </c>
      <c r="P132" s="56">
        <v>5.7</v>
      </c>
      <c r="Q132" s="56">
        <f t="shared" si="52"/>
        <v>341.9140350877193</v>
      </c>
      <c r="R132" s="56">
        <f t="shared" si="53"/>
        <v>6.8382807017543863</v>
      </c>
      <c r="T132" s="46">
        <f t="shared" si="58"/>
        <v>14.730000000000018</v>
      </c>
      <c r="U132" s="57">
        <f t="shared" si="59"/>
        <v>0</v>
      </c>
      <c r="V132" s="38">
        <f t="shared" si="60"/>
        <v>14.730000000000018</v>
      </c>
      <c r="W132">
        <v>5.7</v>
      </c>
      <c r="X132" s="47">
        <f t="shared" si="57"/>
        <v>2.5842105263157924</v>
      </c>
    </row>
    <row r="133" spans="1:24" x14ac:dyDescent="0.25">
      <c r="A133" s="54">
        <v>44763</v>
      </c>
      <c r="B133" s="55">
        <v>5149.54</v>
      </c>
      <c r="C133" s="55"/>
      <c r="D133" s="55">
        <v>5110.92</v>
      </c>
      <c r="E133" s="55"/>
      <c r="F133" s="55">
        <f t="shared" si="49"/>
        <v>5149.54</v>
      </c>
      <c r="G133" s="56">
        <v>5.73</v>
      </c>
      <c r="H133" s="56">
        <f t="shared" si="50"/>
        <v>898.69808027923204</v>
      </c>
      <c r="J133" s="54">
        <v>44763</v>
      </c>
      <c r="K133" s="55">
        <v>5110.92</v>
      </c>
      <c r="L133" s="55"/>
      <c r="M133" s="55"/>
      <c r="N133" s="55"/>
      <c r="O133" s="55">
        <f t="shared" si="51"/>
        <v>5110.92</v>
      </c>
      <c r="P133" s="56">
        <v>5.73</v>
      </c>
      <c r="Q133" s="56">
        <f t="shared" si="52"/>
        <v>891.95811518324604</v>
      </c>
      <c r="R133" s="56">
        <f t="shared" si="53"/>
        <v>17.839162303664921</v>
      </c>
      <c r="T133" s="46">
        <f t="shared" si="58"/>
        <v>38.619999999999891</v>
      </c>
      <c r="U133" s="57">
        <f t="shared" si="59"/>
        <v>0</v>
      </c>
      <c r="V133" s="38">
        <f t="shared" si="60"/>
        <v>38.619999999999891</v>
      </c>
      <c r="W133">
        <v>5.73</v>
      </c>
      <c r="X133" s="47">
        <f t="shared" si="57"/>
        <v>6.7399650959860189</v>
      </c>
    </row>
    <row r="134" spans="1:24" x14ac:dyDescent="0.25">
      <c r="A134" s="54">
        <v>44764</v>
      </c>
      <c r="B134" s="55">
        <v>3249.29</v>
      </c>
      <c r="C134" s="55">
        <v>28.77</v>
      </c>
      <c r="D134" s="55">
        <v>3224.92</v>
      </c>
      <c r="E134" s="55">
        <v>26.81</v>
      </c>
      <c r="F134" s="55">
        <f t="shared" si="49"/>
        <v>3278.06</v>
      </c>
      <c r="G134" s="56">
        <v>5.73</v>
      </c>
      <c r="H134" s="56">
        <f t="shared" si="50"/>
        <v>572.08726003490392</v>
      </c>
      <c r="J134" s="54">
        <v>44764</v>
      </c>
      <c r="K134" s="55">
        <v>3224.92</v>
      </c>
      <c r="L134" s="55">
        <v>26.81</v>
      </c>
      <c r="M134" s="55"/>
      <c r="N134" s="55"/>
      <c r="O134" s="55">
        <f t="shared" si="51"/>
        <v>3251.73</v>
      </c>
      <c r="P134" s="56">
        <v>5.73</v>
      </c>
      <c r="Q134" s="56">
        <f t="shared" si="52"/>
        <v>567.49214659685856</v>
      </c>
      <c r="R134" s="56">
        <f t="shared" si="53"/>
        <v>11.349842931937172</v>
      </c>
      <c r="T134" s="46">
        <f t="shared" si="58"/>
        <v>24.369999999999891</v>
      </c>
      <c r="U134" s="57">
        <f t="shared" si="59"/>
        <v>1.9600000000000009</v>
      </c>
      <c r="V134" s="38">
        <f t="shared" si="60"/>
        <v>26.329999999999892</v>
      </c>
      <c r="W134">
        <v>5.73</v>
      </c>
      <c r="X134" s="47">
        <f t="shared" si="57"/>
        <v>4.595113438045356</v>
      </c>
    </row>
    <row r="135" spans="1:24" x14ac:dyDescent="0.25">
      <c r="A135" s="54">
        <v>44765</v>
      </c>
      <c r="B135" s="55">
        <v>930.32</v>
      </c>
      <c r="C135" s="55"/>
      <c r="D135" s="55">
        <v>923.34</v>
      </c>
      <c r="E135" s="55"/>
      <c r="F135" s="55">
        <f t="shared" si="49"/>
        <v>930.32</v>
      </c>
      <c r="G135" s="56">
        <v>5.73</v>
      </c>
      <c r="H135" s="56">
        <f t="shared" si="50"/>
        <v>162.35951134380454</v>
      </c>
      <c r="J135" s="54">
        <v>44765</v>
      </c>
      <c r="K135" s="55">
        <v>923.34</v>
      </c>
      <c r="L135" s="55"/>
      <c r="M135" s="55"/>
      <c r="N135" s="55"/>
      <c r="O135" s="55">
        <f t="shared" si="51"/>
        <v>923.34</v>
      </c>
      <c r="P135" s="56">
        <v>5.73</v>
      </c>
      <c r="Q135" s="56">
        <f t="shared" si="52"/>
        <v>161.14136125654449</v>
      </c>
      <c r="R135" s="56">
        <f t="shared" si="53"/>
        <v>3.2228272251308896</v>
      </c>
      <c r="T135" s="46">
        <f t="shared" si="58"/>
        <v>6.9800000000000182</v>
      </c>
      <c r="U135" s="57">
        <f t="shared" si="59"/>
        <v>0</v>
      </c>
      <c r="V135" s="38">
        <f t="shared" si="60"/>
        <v>6.9800000000000182</v>
      </c>
      <c r="W135">
        <v>5.73</v>
      </c>
      <c r="X135" s="47">
        <f t="shared" si="57"/>
        <v>1.2181500872600379</v>
      </c>
    </row>
    <row r="136" spans="1:24" x14ac:dyDescent="0.25">
      <c r="A136" s="54">
        <v>44766</v>
      </c>
      <c r="B136" s="55">
        <v>3295.08</v>
      </c>
      <c r="C136" s="55">
        <v>378.3</v>
      </c>
      <c r="D136" s="55">
        <v>3270.37</v>
      </c>
      <c r="E136" s="55">
        <v>352.54</v>
      </c>
      <c r="F136" s="55">
        <f t="shared" si="49"/>
        <v>3673.38</v>
      </c>
      <c r="G136" s="56">
        <v>5.73</v>
      </c>
      <c r="H136" s="56">
        <f t="shared" si="50"/>
        <v>641.0785340314136</v>
      </c>
      <c r="J136" s="54">
        <v>44766</v>
      </c>
      <c r="K136" s="55">
        <v>3270.37</v>
      </c>
      <c r="L136" s="55">
        <v>352.54</v>
      </c>
      <c r="M136" s="55"/>
      <c r="N136" s="55"/>
      <c r="O136" s="55">
        <f t="shared" si="51"/>
        <v>3622.91</v>
      </c>
      <c r="P136" s="56">
        <v>5.73</v>
      </c>
      <c r="Q136" s="56">
        <f t="shared" si="52"/>
        <v>632.27050610820243</v>
      </c>
      <c r="R136" s="56">
        <f t="shared" si="53"/>
        <v>12.64541012216405</v>
      </c>
      <c r="T136" s="46">
        <f t="shared" si="58"/>
        <v>24.710000000000036</v>
      </c>
      <c r="U136" s="57">
        <f t="shared" si="59"/>
        <v>25.759999999999991</v>
      </c>
      <c r="V136" s="38">
        <f t="shared" si="60"/>
        <v>50.470000000000027</v>
      </c>
      <c r="W136">
        <v>5.73</v>
      </c>
      <c r="X136" s="47">
        <f t="shared" si="57"/>
        <v>8.8080279232111742</v>
      </c>
    </row>
    <row r="137" spans="1:24" x14ac:dyDescent="0.25">
      <c r="A137" s="54">
        <v>44767</v>
      </c>
      <c r="B137" s="55">
        <v>1026.95</v>
      </c>
      <c r="C137" s="55"/>
      <c r="D137" s="55">
        <v>1019.25</v>
      </c>
      <c r="E137" s="55"/>
      <c r="F137" s="55">
        <f t="shared" si="49"/>
        <v>1026.95</v>
      </c>
      <c r="G137" s="56">
        <v>5.73</v>
      </c>
      <c r="H137" s="56">
        <f t="shared" si="50"/>
        <v>179.22338568935427</v>
      </c>
      <c r="J137" s="54">
        <v>44767</v>
      </c>
      <c r="K137" s="55">
        <v>1019.25</v>
      </c>
      <c r="L137" s="55"/>
      <c r="M137" s="55"/>
      <c r="N137" s="55"/>
      <c r="O137" s="55">
        <f t="shared" si="51"/>
        <v>1019.25</v>
      </c>
      <c r="P137" s="56">
        <v>5.73</v>
      </c>
      <c r="Q137" s="56">
        <f t="shared" si="52"/>
        <v>177.87958115183244</v>
      </c>
      <c r="R137" s="56">
        <f t="shared" si="53"/>
        <v>3.5575916230366489</v>
      </c>
      <c r="T137" s="46">
        <f t="shared" si="58"/>
        <v>7.7000000000000455</v>
      </c>
      <c r="U137" s="57">
        <f t="shared" si="59"/>
        <v>0</v>
      </c>
      <c r="V137" s="38">
        <f t="shared" si="60"/>
        <v>7.7000000000000455</v>
      </c>
      <c r="W137">
        <v>5.73</v>
      </c>
      <c r="X137" s="47">
        <f t="shared" si="57"/>
        <v>1.3438045375218228</v>
      </c>
    </row>
    <row r="138" spans="1:24" x14ac:dyDescent="0.25">
      <c r="A138" s="54">
        <v>44768</v>
      </c>
      <c r="B138" s="55">
        <v>2793.69</v>
      </c>
      <c r="C138" s="55">
        <v>31.9</v>
      </c>
      <c r="D138" s="55">
        <v>2772.74</v>
      </c>
      <c r="E138" s="55">
        <v>29.73</v>
      </c>
      <c r="F138" s="55">
        <f t="shared" si="49"/>
        <v>2825.59</v>
      </c>
      <c r="G138" s="56">
        <v>5.73</v>
      </c>
      <c r="H138" s="56">
        <f t="shared" si="50"/>
        <v>493.12216404886561</v>
      </c>
      <c r="J138" s="54">
        <v>44768</v>
      </c>
      <c r="K138" s="55">
        <v>2772.74</v>
      </c>
      <c r="L138" s="55">
        <v>29.73</v>
      </c>
      <c r="M138" s="55"/>
      <c r="N138" s="55"/>
      <c r="O138" s="55">
        <f t="shared" si="51"/>
        <v>2802.47</v>
      </c>
      <c r="P138" s="56">
        <v>5.73</v>
      </c>
      <c r="Q138" s="56">
        <f t="shared" si="52"/>
        <v>489.08726003490392</v>
      </c>
      <c r="R138" s="56">
        <f t="shared" si="53"/>
        <v>9.7817452006980794</v>
      </c>
      <c r="T138" s="46">
        <f t="shared" si="58"/>
        <v>20.950000000000273</v>
      </c>
      <c r="U138" s="57">
        <f t="shared" si="59"/>
        <v>2.1699999999999982</v>
      </c>
      <c r="V138" s="38">
        <f t="shared" si="60"/>
        <v>23.120000000000271</v>
      </c>
      <c r="W138">
        <v>5.73</v>
      </c>
      <c r="X138" s="47">
        <f t="shared" si="57"/>
        <v>4.0349040139616523</v>
      </c>
    </row>
    <row r="139" spans="1:24" x14ac:dyDescent="0.25">
      <c r="A139" s="54">
        <v>44769</v>
      </c>
      <c r="B139" s="55">
        <v>1782.79</v>
      </c>
      <c r="C139" s="55"/>
      <c r="D139" s="55">
        <v>1769.42</v>
      </c>
      <c r="E139" s="55"/>
      <c r="F139" s="55">
        <f t="shared" si="49"/>
        <v>1782.79</v>
      </c>
      <c r="G139" s="56">
        <v>5.75</v>
      </c>
      <c r="H139" s="56">
        <f t="shared" si="50"/>
        <v>310.0504347826087</v>
      </c>
      <c r="J139" s="54">
        <v>44769</v>
      </c>
      <c r="K139" s="55">
        <v>1769.42</v>
      </c>
      <c r="L139" s="55"/>
      <c r="M139" s="55"/>
      <c r="N139" s="55"/>
      <c r="O139" s="55">
        <f t="shared" si="51"/>
        <v>1769.42</v>
      </c>
      <c r="P139" s="56">
        <v>5.75</v>
      </c>
      <c r="Q139" s="56">
        <f t="shared" si="52"/>
        <v>307.72521739130434</v>
      </c>
      <c r="R139" s="56">
        <f t="shared" si="53"/>
        <v>6.1545043478260872</v>
      </c>
      <c r="T139" s="46">
        <f t="shared" si="58"/>
        <v>13.369999999999891</v>
      </c>
      <c r="U139" s="57">
        <f t="shared" si="59"/>
        <v>0</v>
      </c>
      <c r="V139" s="38">
        <f t="shared" si="60"/>
        <v>13.369999999999891</v>
      </c>
      <c r="W139">
        <v>5.75</v>
      </c>
      <c r="X139" s="47">
        <f t="shared" si="57"/>
        <v>2.3252173913043288</v>
      </c>
    </row>
    <row r="140" spans="1:24" x14ac:dyDescent="0.25">
      <c r="A140" s="54">
        <v>44770</v>
      </c>
      <c r="B140" s="55">
        <v>2285.42</v>
      </c>
      <c r="C140" s="55"/>
      <c r="D140" s="55">
        <v>2268.2800000000002</v>
      </c>
      <c r="E140" s="55"/>
      <c r="F140" s="55">
        <f t="shared" si="49"/>
        <v>2285.42</v>
      </c>
      <c r="G140" s="56">
        <v>5.78</v>
      </c>
      <c r="H140" s="56">
        <f t="shared" si="50"/>
        <v>395.401384083045</v>
      </c>
      <c r="J140" s="54">
        <v>44770</v>
      </c>
      <c r="K140" s="55">
        <v>2268.2800000000002</v>
      </c>
      <c r="L140" s="55"/>
      <c r="M140" s="55"/>
      <c r="N140" s="55"/>
      <c r="O140" s="55">
        <f t="shared" si="51"/>
        <v>2268.2800000000002</v>
      </c>
      <c r="P140" s="56">
        <v>5.78</v>
      </c>
      <c r="Q140" s="56">
        <f t="shared" si="52"/>
        <v>392.43598615916954</v>
      </c>
      <c r="R140" s="56">
        <f t="shared" si="53"/>
        <v>7.8487197231833914</v>
      </c>
      <c r="T140" s="46">
        <f t="shared" si="58"/>
        <v>17.139999999999873</v>
      </c>
      <c r="U140" s="57">
        <f t="shared" si="59"/>
        <v>0</v>
      </c>
      <c r="V140" s="38">
        <f t="shared" si="60"/>
        <v>17.139999999999873</v>
      </c>
      <c r="W140">
        <v>5.78</v>
      </c>
      <c r="X140" s="47">
        <f t="shared" si="57"/>
        <v>2.9653979238754102</v>
      </c>
    </row>
    <row r="141" spans="1:24" x14ac:dyDescent="0.25">
      <c r="A141" s="54">
        <v>44771</v>
      </c>
      <c r="B141" s="55">
        <v>3382.08</v>
      </c>
      <c r="C141" s="55"/>
      <c r="D141" s="55">
        <v>3356.71</v>
      </c>
      <c r="E141" s="55"/>
      <c r="F141" s="55">
        <f t="shared" si="49"/>
        <v>3382.08</v>
      </c>
      <c r="G141" s="56">
        <v>5.78</v>
      </c>
      <c r="H141" s="56">
        <f t="shared" si="50"/>
        <v>585.13494809688575</v>
      </c>
      <c r="J141" s="54">
        <v>44771</v>
      </c>
      <c r="K141" s="55">
        <v>3356.71</v>
      </c>
      <c r="L141" s="55"/>
      <c r="M141" s="55"/>
      <c r="N141" s="55"/>
      <c r="O141" s="55">
        <f t="shared" si="51"/>
        <v>3356.71</v>
      </c>
      <c r="P141" s="56">
        <v>5.78</v>
      </c>
      <c r="Q141" s="56">
        <f t="shared" si="52"/>
        <v>580.74567474048445</v>
      </c>
      <c r="R141" s="56">
        <f t="shared" si="53"/>
        <v>11.61491349480969</v>
      </c>
      <c r="T141" s="46">
        <f t="shared" si="58"/>
        <v>25.369999999999891</v>
      </c>
      <c r="U141" s="57">
        <f t="shared" si="59"/>
        <v>0</v>
      </c>
      <c r="V141" s="38">
        <f t="shared" si="60"/>
        <v>25.369999999999891</v>
      </c>
      <c r="W141">
        <v>5.78</v>
      </c>
      <c r="X141" s="47">
        <f t="shared" si="57"/>
        <v>4.3892733564013646</v>
      </c>
    </row>
    <row r="142" spans="1:24" x14ac:dyDescent="0.25">
      <c r="A142" s="54">
        <v>44772</v>
      </c>
      <c r="B142" s="55">
        <v>4023.77</v>
      </c>
      <c r="C142" s="55">
        <v>446.2</v>
      </c>
      <c r="D142" s="55">
        <v>3993.59</v>
      </c>
      <c r="E142" s="55">
        <v>415.81</v>
      </c>
      <c r="F142" s="55">
        <f t="shared" si="49"/>
        <v>4469.97</v>
      </c>
      <c r="G142" s="56">
        <v>5.79</v>
      </c>
      <c r="H142" s="56">
        <f t="shared" si="50"/>
        <v>772.01554404145077</v>
      </c>
      <c r="J142" s="54">
        <v>44772</v>
      </c>
      <c r="K142" s="55">
        <v>3993.59</v>
      </c>
      <c r="L142" s="55">
        <v>415.81</v>
      </c>
      <c r="M142" s="55"/>
      <c r="N142" s="55"/>
      <c r="O142" s="55">
        <f t="shared" si="51"/>
        <v>4409.4000000000005</v>
      </c>
      <c r="P142" s="56">
        <v>5.79</v>
      </c>
      <c r="Q142" s="56">
        <f t="shared" si="52"/>
        <v>761.5544041450778</v>
      </c>
      <c r="R142" s="56">
        <f t="shared" si="53"/>
        <v>15.231088082901556</v>
      </c>
      <c r="T142" s="46">
        <f t="shared" si="58"/>
        <v>30.179999999999836</v>
      </c>
      <c r="U142" s="57">
        <f t="shared" si="59"/>
        <v>30.389999999999986</v>
      </c>
      <c r="V142" s="38">
        <f t="shared" si="60"/>
        <v>60.569999999999823</v>
      </c>
      <c r="W142">
        <v>5.79</v>
      </c>
      <c r="X142" s="47">
        <f t="shared" si="57"/>
        <v>10.461139896373027</v>
      </c>
    </row>
    <row r="143" spans="1:24" x14ac:dyDescent="0.25">
      <c r="A143" s="54">
        <v>44773</v>
      </c>
      <c r="B143" s="50">
        <f>1277.46+2000.38</f>
        <v>3277.84</v>
      </c>
      <c r="C143" s="50"/>
      <c r="D143" s="50">
        <f>1267.88+1985.38</f>
        <v>3253.26</v>
      </c>
      <c r="E143" s="50"/>
      <c r="F143" s="55">
        <f t="shared" si="49"/>
        <v>3277.84</v>
      </c>
      <c r="G143" s="56">
        <v>5.79</v>
      </c>
      <c r="H143" s="56">
        <f t="shared" si="50"/>
        <v>566.12089810017278</v>
      </c>
      <c r="J143" s="54">
        <v>44773</v>
      </c>
      <c r="K143" s="50">
        <v>3253.26</v>
      </c>
      <c r="L143" s="50"/>
      <c r="M143" s="50"/>
      <c r="N143" s="50"/>
      <c r="O143" s="55">
        <f t="shared" si="51"/>
        <v>3253.26</v>
      </c>
      <c r="P143" s="56">
        <v>5.79</v>
      </c>
      <c r="Q143" s="56">
        <f t="shared" si="52"/>
        <v>561.87564766839387</v>
      </c>
      <c r="R143" s="56">
        <f t="shared" si="53"/>
        <v>11.237512953367878</v>
      </c>
      <c r="T143" s="46">
        <f t="shared" si="58"/>
        <v>24.579999999999927</v>
      </c>
      <c r="U143" s="57">
        <f t="shared" si="59"/>
        <v>0</v>
      </c>
      <c r="V143" s="38">
        <f t="shared" si="60"/>
        <v>24.579999999999927</v>
      </c>
      <c r="W143">
        <v>5.79</v>
      </c>
      <c r="X143" s="47">
        <f t="shared" si="57"/>
        <v>4.245250431778917</v>
      </c>
    </row>
    <row r="144" spans="1:24" x14ac:dyDescent="0.25">
      <c r="F144" s="58">
        <f>SUM(F113:F143)</f>
        <v>64458.869999999995</v>
      </c>
      <c r="G144" s="59"/>
      <c r="H144" s="48">
        <f>SUM(H113:H143)</f>
        <v>11325.497116077117</v>
      </c>
      <c r="O144" s="58">
        <f>SUM(O113:O143)</f>
        <v>63895.359999999993</v>
      </c>
      <c r="P144" s="60"/>
      <c r="Q144" s="61">
        <f>SUM(Q113:Q143)</f>
        <v>11226.51140049984</v>
      </c>
      <c r="R144" s="61">
        <f>SUM(R113:R143)</f>
        <v>224.53022800999673</v>
      </c>
    </row>
    <row r="148" spans="1:18" x14ac:dyDescent="0.25">
      <c r="A148" s="13" t="s">
        <v>57</v>
      </c>
      <c r="B148" s="14"/>
      <c r="C148" s="15"/>
      <c r="D148" s="15"/>
      <c r="E148" s="16"/>
      <c r="J148" t="s">
        <v>54</v>
      </c>
      <c r="K148" s="13"/>
      <c r="L148" s="14"/>
      <c r="M148" s="15"/>
      <c r="N148" s="15"/>
      <c r="O148" s="16"/>
    </row>
    <row r="149" spans="1:18" ht="45" x14ac:dyDescent="0.25">
      <c r="A149" s="49" t="s">
        <v>0</v>
      </c>
      <c r="B149" s="49" t="s">
        <v>55</v>
      </c>
      <c r="C149" s="49" t="s">
        <v>56</v>
      </c>
      <c r="D149" s="49" t="s">
        <v>55</v>
      </c>
      <c r="E149" s="49" t="s">
        <v>56</v>
      </c>
      <c r="F149" s="49" t="s">
        <v>7</v>
      </c>
      <c r="G149" s="52" t="s">
        <v>9</v>
      </c>
      <c r="H149" s="52" t="s">
        <v>6</v>
      </c>
      <c r="J149" s="49" t="s">
        <v>0</v>
      </c>
      <c r="K149" s="49" t="s">
        <v>55</v>
      </c>
      <c r="L149" s="49" t="s">
        <v>56</v>
      </c>
      <c r="M149" s="49" t="s">
        <v>55</v>
      </c>
      <c r="N149" s="49" t="s">
        <v>56</v>
      </c>
      <c r="O149" s="49" t="s">
        <v>7</v>
      </c>
      <c r="P149" s="52" t="s">
        <v>9</v>
      </c>
      <c r="Q149" s="52" t="s">
        <v>6</v>
      </c>
      <c r="R149" s="53" t="s">
        <v>27</v>
      </c>
    </row>
    <row r="150" spans="1:18" x14ac:dyDescent="0.25">
      <c r="A150" s="54">
        <v>44743</v>
      </c>
      <c r="B150" s="55">
        <f>'[3]DIA 1'!$R$70+'[3]DIA 1'!$R$71</f>
        <v>1730.7199999999998</v>
      </c>
      <c r="C150" s="55"/>
      <c r="D150" s="55">
        <f>1141.7+576.04</f>
        <v>1717.74</v>
      </c>
      <c r="E150" s="55"/>
      <c r="F150" s="55">
        <f>B150+C150</f>
        <v>1730.7199999999998</v>
      </c>
      <c r="G150" s="56">
        <v>5.56</v>
      </c>
      <c r="H150" s="56">
        <f>F150/G150</f>
        <v>311.2805755395683</v>
      </c>
      <c r="J150" s="54">
        <v>44743</v>
      </c>
      <c r="K150" s="55">
        <f>1141.7+576.04</f>
        <v>1717.74</v>
      </c>
      <c r="L150" s="55"/>
      <c r="M150" s="55"/>
      <c r="N150" s="55"/>
      <c r="O150" s="55">
        <f>K150+L150</f>
        <v>1717.74</v>
      </c>
      <c r="P150" s="56">
        <v>5.56</v>
      </c>
      <c r="Q150" s="56">
        <f>O150/P150</f>
        <v>308.94604316546764</v>
      </c>
      <c r="R150" s="56">
        <f>Q150*2%</f>
        <v>6.1789208633093526</v>
      </c>
    </row>
    <row r="151" spans="1:18" x14ac:dyDescent="0.25">
      <c r="A151" s="54">
        <v>44744</v>
      </c>
      <c r="B151" s="55">
        <v>1844.18</v>
      </c>
      <c r="C151" s="55"/>
      <c r="D151" s="55">
        <v>1830.35</v>
      </c>
      <c r="E151" s="55"/>
      <c r="F151" s="55">
        <f t="shared" ref="F151" si="61">B151+C151</f>
        <v>1844.18</v>
      </c>
      <c r="G151" s="56">
        <v>5.56</v>
      </c>
      <c r="H151" s="56">
        <f t="shared" ref="H151" si="62">F151/G151</f>
        <v>331.68705035971226</v>
      </c>
      <c r="J151" s="54">
        <v>44744</v>
      </c>
      <c r="K151" s="55">
        <v>1830.35</v>
      </c>
      <c r="L151" s="55"/>
      <c r="M151" s="55"/>
      <c r="N151" s="55"/>
      <c r="O151" s="55">
        <f t="shared" ref="O151:O180" si="63">K151+L151</f>
        <v>1830.35</v>
      </c>
      <c r="P151" s="56">
        <v>5.56</v>
      </c>
      <c r="Q151" s="56">
        <f t="shared" ref="Q151:Q180" si="64">O151/P151</f>
        <v>329.1996402877698</v>
      </c>
      <c r="R151" s="56">
        <f t="shared" ref="R151:R180" si="65">Q151*2%</f>
        <v>6.583992805755396</v>
      </c>
    </row>
    <row r="152" spans="1:18" x14ac:dyDescent="0.25">
      <c r="A152" s="54">
        <v>44745</v>
      </c>
      <c r="B152" s="55">
        <f>938.86+2195.1</f>
        <v>3133.96</v>
      </c>
      <c r="C152" s="55">
        <v>59.27</v>
      </c>
      <c r="D152" s="55">
        <f>2178.64+931.82</f>
        <v>3110.46</v>
      </c>
      <c r="E152" s="55">
        <v>55.23</v>
      </c>
      <c r="F152" s="55">
        <f>B152+C152</f>
        <v>3193.23</v>
      </c>
      <c r="G152" s="56">
        <v>5.56</v>
      </c>
      <c r="H152" s="56">
        <f>F152/G152</f>
        <v>574.32194244604318</v>
      </c>
      <c r="J152" s="54">
        <v>44745</v>
      </c>
      <c r="K152" s="55">
        <f>2178.64+931.82</f>
        <v>3110.46</v>
      </c>
      <c r="L152" s="55">
        <v>55.23</v>
      </c>
      <c r="M152" s="55"/>
      <c r="N152" s="55"/>
      <c r="O152" s="55">
        <f t="shared" si="63"/>
        <v>3165.69</v>
      </c>
      <c r="P152" s="56">
        <v>5.56</v>
      </c>
      <c r="Q152" s="56">
        <f t="shared" si="64"/>
        <v>569.36870503597129</v>
      </c>
      <c r="R152" s="56">
        <f t="shared" si="65"/>
        <v>11.387374100719425</v>
      </c>
    </row>
    <row r="153" spans="1:18" x14ac:dyDescent="0.25">
      <c r="A153" s="54">
        <v>44746</v>
      </c>
      <c r="B153" s="55">
        <v>1669.61</v>
      </c>
      <c r="C153" s="55"/>
      <c r="D153" s="55">
        <v>1657.09</v>
      </c>
      <c r="E153" s="55"/>
      <c r="F153" s="55">
        <f t="shared" ref="F153:F165" si="66">B153+C153</f>
        <v>1669.61</v>
      </c>
      <c r="G153" s="56">
        <v>5.56</v>
      </c>
      <c r="H153" s="56">
        <f t="shared" ref="H153:H159" si="67">F153/G153</f>
        <v>300.28956834532374</v>
      </c>
      <c r="J153" s="54">
        <v>44746</v>
      </c>
      <c r="K153" s="55">
        <v>1657.09</v>
      </c>
      <c r="L153" s="55"/>
      <c r="M153" s="55"/>
      <c r="N153" s="55"/>
      <c r="O153" s="55">
        <f t="shared" si="63"/>
        <v>1657.09</v>
      </c>
      <c r="P153" s="56">
        <v>5.56</v>
      </c>
      <c r="Q153" s="56">
        <f t="shared" si="64"/>
        <v>298.03776978417267</v>
      </c>
      <c r="R153" s="56">
        <f t="shared" si="65"/>
        <v>5.9607553956834538</v>
      </c>
    </row>
    <row r="154" spans="1:18" x14ac:dyDescent="0.25">
      <c r="A154" s="54">
        <v>44747</v>
      </c>
      <c r="B154" s="55">
        <v>2192.44</v>
      </c>
      <c r="C154" s="55"/>
      <c r="D154" s="55">
        <v>2176</v>
      </c>
      <c r="E154" s="55"/>
      <c r="F154" s="55">
        <f t="shared" si="66"/>
        <v>2192.44</v>
      </c>
      <c r="G154" s="56">
        <v>5.56</v>
      </c>
      <c r="H154" s="56">
        <f t="shared" si="67"/>
        <v>394.32374100719426</v>
      </c>
      <c r="J154" s="54">
        <v>44747</v>
      </c>
      <c r="K154" s="55">
        <v>2176</v>
      </c>
      <c r="L154" s="55"/>
      <c r="M154" s="55"/>
      <c r="N154" s="55"/>
      <c r="O154" s="55">
        <f t="shared" si="63"/>
        <v>2176</v>
      </c>
      <c r="P154" s="56">
        <v>5.56</v>
      </c>
      <c r="Q154" s="56">
        <f t="shared" si="64"/>
        <v>391.36690647482015</v>
      </c>
      <c r="R154" s="56">
        <f t="shared" si="65"/>
        <v>7.8273381294964031</v>
      </c>
    </row>
    <row r="155" spans="1:18" x14ac:dyDescent="0.25">
      <c r="A155" s="54">
        <v>44748</v>
      </c>
      <c r="B155" s="55">
        <v>2235.9299999999998</v>
      </c>
      <c r="C155" s="55"/>
      <c r="D155" s="55">
        <v>2219.16</v>
      </c>
      <c r="E155" s="55"/>
      <c r="F155" s="55">
        <f t="shared" si="66"/>
        <v>2235.9299999999998</v>
      </c>
      <c r="G155" s="56">
        <v>5.56</v>
      </c>
      <c r="H155" s="56">
        <f t="shared" si="67"/>
        <v>402.14568345323738</v>
      </c>
      <c r="J155" s="54">
        <v>44748</v>
      </c>
      <c r="K155" s="55">
        <v>2219.16</v>
      </c>
      <c r="L155" s="55"/>
      <c r="M155" s="55"/>
      <c r="N155" s="55"/>
      <c r="O155" s="55">
        <f t="shared" si="63"/>
        <v>2219.16</v>
      </c>
      <c r="P155" s="56">
        <v>5.56</v>
      </c>
      <c r="Q155" s="56">
        <f t="shared" si="64"/>
        <v>399.12949640287769</v>
      </c>
      <c r="R155" s="56">
        <f t="shared" si="65"/>
        <v>7.9825899280575543</v>
      </c>
    </row>
    <row r="156" spans="1:18" x14ac:dyDescent="0.25">
      <c r="A156" s="54">
        <v>44749</v>
      </c>
      <c r="B156" s="55">
        <f>1676.81</f>
        <v>1676.81</v>
      </c>
      <c r="C156" s="55"/>
      <c r="D156" s="55">
        <v>1664.23</v>
      </c>
      <c r="E156" s="55"/>
      <c r="F156" s="55">
        <f t="shared" si="66"/>
        <v>1676.81</v>
      </c>
      <c r="G156" s="56">
        <v>5.57</v>
      </c>
      <c r="H156" s="56">
        <f t="shared" si="67"/>
        <v>301.04308797127464</v>
      </c>
      <c r="J156" s="54">
        <v>44749</v>
      </c>
      <c r="K156" s="55">
        <v>1664.23</v>
      </c>
      <c r="L156" s="55"/>
      <c r="M156" s="55"/>
      <c r="N156" s="55"/>
      <c r="O156" s="55">
        <f t="shared" si="63"/>
        <v>1664.23</v>
      </c>
      <c r="P156" s="56">
        <v>5.57</v>
      </c>
      <c r="Q156" s="56">
        <f t="shared" si="64"/>
        <v>298.78456014362655</v>
      </c>
      <c r="R156" s="56">
        <f t="shared" si="65"/>
        <v>5.9756912028725315</v>
      </c>
    </row>
    <row r="157" spans="1:18" x14ac:dyDescent="0.25">
      <c r="A157" s="54">
        <v>44750</v>
      </c>
      <c r="B157" s="55">
        <f>1468.65+2017.6</f>
        <v>3486.25</v>
      </c>
      <c r="C157" s="55"/>
      <c r="D157" s="55">
        <f>1457.64+2002.47</f>
        <v>3460.11</v>
      </c>
      <c r="E157" s="55"/>
      <c r="F157" s="55">
        <f t="shared" si="66"/>
        <v>3486.25</v>
      </c>
      <c r="G157" s="56">
        <v>5.61</v>
      </c>
      <c r="H157" s="56">
        <f t="shared" si="67"/>
        <v>621.43493761140815</v>
      </c>
      <c r="J157" s="54">
        <v>44750</v>
      </c>
      <c r="K157" s="55">
        <f>1457.64+2002.47</f>
        <v>3460.11</v>
      </c>
      <c r="L157" s="55"/>
      <c r="M157" s="55"/>
      <c r="N157" s="55"/>
      <c r="O157" s="55">
        <f t="shared" si="63"/>
        <v>3460.11</v>
      </c>
      <c r="P157" s="56">
        <v>5.61</v>
      </c>
      <c r="Q157" s="56">
        <f t="shared" si="64"/>
        <v>616.77540106951869</v>
      </c>
      <c r="R157" s="56">
        <f t="shared" si="65"/>
        <v>12.335508021390375</v>
      </c>
    </row>
    <row r="158" spans="1:18" x14ac:dyDescent="0.25">
      <c r="A158" s="54">
        <v>44751</v>
      </c>
      <c r="B158" s="55">
        <f>1163.98+1424.34</f>
        <v>2588.3199999999997</v>
      </c>
      <c r="C158" s="55"/>
      <c r="D158" s="55">
        <f>1155.25+1413.66</f>
        <v>2568.91</v>
      </c>
      <c r="E158" s="55"/>
      <c r="F158" s="55">
        <f t="shared" si="66"/>
        <v>2588.3199999999997</v>
      </c>
      <c r="G158" s="56">
        <v>5.61</v>
      </c>
      <c r="H158" s="56">
        <f t="shared" si="67"/>
        <v>461.37611408199638</v>
      </c>
      <c r="J158" s="54">
        <v>44751</v>
      </c>
      <c r="K158" s="55">
        <f>1155.25+1413.66</f>
        <v>2568.91</v>
      </c>
      <c r="L158" s="55"/>
      <c r="M158" s="55"/>
      <c r="N158" s="55"/>
      <c r="O158" s="55">
        <f t="shared" si="63"/>
        <v>2568.91</v>
      </c>
      <c r="P158" s="56">
        <v>5.61</v>
      </c>
      <c r="Q158" s="56">
        <f t="shared" si="64"/>
        <v>457.91622103386806</v>
      </c>
      <c r="R158" s="56">
        <f t="shared" si="65"/>
        <v>9.1583244206773617</v>
      </c>
    </row>
    <row r="159" spans="1:18" x14ac:dyDescent="0.25">
      <c r="A159" s="54">
        <v>44752</v>
      </c>
      <c r="B159" s="55">
        <f>3083.98+1158.95</f>
        <v>4242.93</v>
      </c>
      <c r="C159" s="55"/>
      <c r="D159" s="55">
        <f>3060.85+1150.26</f>
        <v>4211.1099999999997</v>
      </c>
      <c r="E159" s="55"/>
      <c r="F159" s="55">
        <f t="shared" si="66"/>
        <v>4242.93</v>
      </c>
      <c r="G159" s="56">
        <v>5.61</v>
      </c>
      <c r="H159" s="56">
        <f t="shared" si="67"/>
        <v>756.31550802139043</v>
      </c>
      <c r="J159" s="54">
        <v>44752</v>
      </c>
      <c r="K159" s="55">
        <f>3060.85+1150.26</f>
        <v>4211.1099999999997</v>
      </c>
      <c r="L159" s="55"/>
      <c r="M159" s="55"/>
      <c r="N159" s="55"/>
      <c r="O159" s="55">
        <f t="shared" si="63"/>
        <v>4211.1099999999997</v>
      </c>
      <c r="P159" s="56">
        <v>5.61</v>
      </c>
      <c r="Q159" s="56">
        <f t="shared" si="64"/>
        <v>750.64349376114069</v>
      </c>
      <c r="R159" s="56">
        <f t="shared" si="65"/>
        <v>15.012869875222814</v>
      </c>
    </row>
    <row r="160" spans="1:18" x14ac:dyDescent="0.25">
      <c r="A160" s="54">
        <v>44753</v>
      </c>
      <c r="B160" s="55">
        <v>2092.94</v>
      </c>
      <c r="C160" s="55"/>
      <c r="D160" s="55">
        <v>2077.2399999999998</v>
      </c>
      <c r="E160" s="55"/>
      <c r="F160" s="55">
        <f t="shared" si="66"/>
        <v>2092.94</v>
      </c>
      <c r="G160" s="56">
        <v>5.61</v>
      </c>
      <c r="H160" s="56">
        <f>F160/G160</f>
        <v>373.07308377896612</v>
      </c>
      <c r="J160" s="54">
        <v>44753</v>
      </c>
      <c r="K160" s="55">
        <v>2077.2399999999998</v>
      </c>
      <c r="L160" s="55"/>
      <c r="M160" s="55"/>
      <c r="N160" s="55"/>
      <c r="O160" s="55">
        <f t="shared" si="63"/>
        <v>2077.2399999999998</v>
      </c>
      <c r="P160" s="56">
        <v>5.61</v>
      </c>
      <c r="Q160" s="56">
        <f t="shared" si="64"/>
        <v>370.27450980392149</v>
      </c>
      <c r="R160" s="56">
        <f t="shared" si="65"/>
        <v>7.4054901960784303</v>
      </c>
    </row>
    <row r="161" spans="1:18" x14ac:dyDescent="0.25">
      <c r="A161" s="54">
        <v>44754</v>
      </c>
      <c r="B161" s="55">
        <f>376.04+480.35</f>
        <v>856.3900000000001</v>
      </c>
      <c r="C161" s="55">
        <v>45.15</v>
      </c>
      <c r="D161" s="55">
        <f>373.22+476.75</f>
        <v>849.97</v>
      </c>
      <c r="E161" s="55">
        <v>72.08</v>
      </c>
      <c r="F161" s="55">
        <f t="shared" si="66"/>
        <v>901.54000000000008</v>
      </c>
      <c r="G161" s="56">
        <v>5.62</v>
      </c>
      <c r="H161" s="56">
        <f t="shared" ref="H161:H165" si="68">F161/G161</f>
        <v>160.41637010676158</v>
      </c>
      <c r="J161" s="54">
        <v>44754</v>
      </c>
      <c r="K161" s="55">
        <f>373.22+476.75</f>
        <v>849.97</v>
      </c>
      <c r="L161" s="55">
        <v>72.08</v>
      </c>
      <c r="M161" s="55"/>
      <c r="N161" s="55"/>
      <c r="O161" s="55">
        <f t="shared" si="63"/>
        <v>922.05000000000007</v>
      </c>
      <c r="P161" s="56">
        <v>5.62</v>
      </c>
      <c r="Q161" s="56">
        <f t="shared" si="64"/>
        <v>164.0658362989324</v>
      </c>
      <c r="R161" s="56">
        <f t="shared" si="65"/>
        <v>3.2813167259786482</v>
      </c>
    </row>
    <row r="162" spans="1:18" x14ac:dyDescent="0.25">
      <c r="A162" s="54">
        <v>44755</v>
      </c>
      <c r="B162" s="55">
        <v>956.15</v>
      </c>
      <c r="C162" s="55"/>
      <c r="D162" s="55">
        <v>948.98</v>
      </c>
      <c r="E162" s="55"/>
      <c r="F162" s="55">
        <f t="shared" si="66"/>
        <v>956.15</v>
      </c>
      <c r="G162" s="56">
        <v>5.66</v>
      </c>
      <c r="H162" s="56">
        <f t="shared" si="68"/>
        <v>168.93109540636041</v>
      </c>
      <c r="J162" s="54">
        <v>44755</v>
      </c>
      <c r="K162" s="55">
        <v>948.98</v>
      </c>
      <c r="L162" s="55"/>
      <c r="M162" s="55"/>
      <c r="N162" s="55"/>
      <c r="O162" s="55">
        <f t="shared" si="63"/>
        <v>948.98</v>
      </c>
      <c r="P162" s="56">
        <v>5.66</v>
      </c>
      <c r="Q162" s="56">
        <f t="shared" si="64"/>
        <v>167.66431095406361</v>
      </c>
      <c r="R162" s="56">
        <f t="shared" si="65"/>
        <v>3.3532862190812724</v>
      </c>
    </row>
    <row r="163" spans="1:18" x14ac:dyDescent="0.25">
      <c r="A163" s="54">
        <v>44756</v>
      </c>
      <c r="B163" s="55">
        <f>1426.41+640.5</f>
        <v>2066.91</v>
      </c>
      <c r="C163" s="55"/>
      <c r="D163" s="55">
        <f>1415.71+635.7</f>
        <v>2051.41</v>
      </c>
      <c r="E163" s="55"/>
      <c r="F163" s="55">
        <f t="shared" si="66"/>
        <v>2066.91</v>
      </c>
      <c r="G163" s="56">
        <v>5.68</v>
      </c>
      <c r="H163" s="56">
        <f t="shared" si="68"/>
        <v>363.89260563380282</v>
      </c>
      <c r="J163" s="54">
        <v>44756</v>
      </c>
      <c r="K163" s="55">
        <f>1415.71+635.7</f>
        <v>2051.41</v>
      </c>
      <c r="L163" s="55"/>
      <c r="M163" s="55"/>
      <c r="N163" s="55"/>
      <c r="O163" s="55">
        <f t="shared" si="63"/>
        <v>2051.41</v>
      </c>
      <c r="P163" s="56">
        <v>5.68</v>
      </c>
      <c r="Q163" s="56">
        <f t="shared" si="64"/>
        <v>361.16373239436621</v>
      </c>
      <c r="R163" s="56">
        <f t="shared" si="65"/>
        <v>7.2232746478873242</v>
      </c>
    </row>
    <row r="164" spans="1:18" x14ac:dyDescent="0.25">
      <c r="A164" s="54">
        <v>44757</v>
      </c>
      <c r="B164" s="55">
        <f>1237.4+1189.86</f>
        <v>2427.2600000000002</v>
      </c>
      <c r="C164" s="55">
        <f>36.99+9.69</f>
        <v>46.68</v>
      </c>
      <c r="D164" s="55">
        <f>1228.12+1180.94</f>
        <v>2409.06</v>
      </c>
      <c r="E164" s="55">
        <f>34.47+9.03</f>
        <v>43.5</v>
      </c>
      <c r="F164" s="55">
        <f t="shared" si="66"/>
        <v>2473.94</v>
      </c>
      <c r="G164" s="56">
        <v>5.7</v>
      </c>
      <c r="H164" s="56">
        <f t="shared" si="68"/>
        <v>434.02456140350876</v>
      </c>
      <c r="J164" s="54">
        <v>44757</v>
      </c>
      <c r="K164" s="55">
        <f>1228.12+1180.94</f>
        <v>2409.06</v>
      </c>
      <c r="L164" s="55">
        <f>34.47+9.03</f>
        <v>43.5</v>
      </c>
      <c r="M164" s="55"/>
      <c r="N164" s="55"/>
      <c r="O164" s="55">
        <f t="shared" si="63"/>
        <v>2452.56</v>
      </c>
      <c r="P164" s="56">
        <v>5.7</v>
      </c>
      <c r="Q164" s="56">
        <f t="shared" si="64"/>
        <v>430.27368421052631</v>
      </c>
      <c r="R164" s="56">
        <f t="shared" si="65"/>
        <v>8.6054736842105264</v>
      </c>
    </row>
    <row r="165" spans="1:18" x14ac:dyDescent="0.25">
      <c r="A165" s="54">
        <v>44758</v>
      </c>
      <c r="B165" s="55">
        <f>1543.54+1982.75</f>
        <v>3526.29</v>
      </c>
      <c r="C165" s="55"/>
      <c r="D165" s="55">
        <f>1531.96+1967.88</f>
        <v>3499.84</v>
      </c>
      <c r="E165" s="55"/>
      <c r="F165" s="55">
        <f t="shared" si="66"/>
        <v>3526.29</v>
      </c>
      <c r="G165" s="56">
        <v>5.7</v>
      </c>
      <c r="H165" s="56">
        <f t="shared" si="68"/>
        <v>618.64736842105265</v>
      </c>
      <c r="J165" s="54">
        <v>44758</v>
      </c>
      <c r="K165" s="55">
        <f>1531.96+1967.88</f>
        <v>3499.84</v>
      </c>
      <c r="L165" s="55"/>
      <c r="M165" s="55"/>
      <c r="N165" s="55"/>
      <c r="O165" s="55">
        <f t="shared" si="63"/>
        <v>3499.84</v>
      </c>
      <c r="P165" s="56">
        <v>5.7</v>
      </c>
      <c r="Q165" s="56">
        <f t="shared" si="64"/>
        <v>614.00701754385966</v>
      </c>
      <c r="R165" s="56">
        <f t="shared" si="65"/>
        <v>12.280140350877193</v>
      </c>
    </row>
    <row r="166" spans="1:18" x14ac:dyDescent="0.25">
      <c r="A166" s="54">
        <v>44759</v>
      </c>
      <c r="B166" s="55">
        <v>2258.81</v>
      </c>
      <c r="C166" s="55"/>
      <c r="D166" s="55">
        <v>2241.87</v>
      </c>
      <c r="E166" s="55"/>
      <c r="F166" s="55">
        <f>B166+C166</f>
        <v>2258.81</v>
      </c>
      <c r="G166" s="56">
        <v>5.7</v>
      </c>
      <c r="H166" s="56">
        <f>F166/G166</f>
        <v>396.28245614035086</v>
      </c>
      <c r="J166" s="54">
        <v>44759</v>
      </c>
      <c r="K166" s="55">
        <v>2241.87</v>
      </c>
      <c r="L166" s="55"/>
      <c r="M166" s="55"/>
      <c r="N166" s="55"/>
      <c r="O166" s="55">
        <f t="shared" si="63"/>
        <v>2241.87</v>
      </c>
      <c r="P166" s="56">
        <v>5.7</v>
      </c>
      <c r="Q166" s="56">
        <f t="shared" si="64"/>
        <v>393.31052631578945</v>
      </c>
      <c r="R166" s="56">
        <f t="shared" si="65"/>
        <v>7.8662105263157889</v>
      </c>
    </row>
    <row r="167" spans="1:18" x14ac:dyDescent="0.25">
      <c r="A167" s="54">
        <v>44760</v>
      </c>
      <c r="B167" s="55"/>
      <c r="C167" s="55"/>
      <c r="D167" s="55"/>
      <c r="E167" s="55"/>
      <c r="F167" s="55">
        <f t="shared" ref="F167:F180" si="69">B167+C167</f>
        <v>0</v>
      </c>
      <c r="G167" s="56">
        <v>5.7</v>
      </c>
      <c r="H167" s="56">
        <f t="shared" ref="H167:H172" si="70">F167/G167</f>
        <v>0</v>
      </c>
      <c r="J167" s="54">
        <v>44760</v>
      </c>
      <c r="K167" s="55"/>
      <c r="L167" s="55"/>
      <c r="M167" s="55"/>
      <c r="N167" s="55"/>
      <c r="O167" s="55">
        <f t="shared" si="63"/>
        <v>0</v>
      </c>
      <c r="P167" s="56">
        <v>5.7</v>
      </c>
      <c r="Q167" s="56">
        <f t="shared" si="64"/>
        <v>0</v>
      </c>
      <c r="R167" s="56">
        <f t="shared" si="65"/>
        <v>0</v>
      </c>
    </row>
    <row r="168" spans="1:18" x14ac:dyDescent="0.25">
      <c r="A168" s="54">
        <v>44761</v>
      </c>
      <c r="B168" s="55"/>
      <c r="C168" s="55"/>
      <c r="D168" s="55"/>
      <c r="E168" s="55"/>
      <c r="F168" s="55">
        <f t="shared" si="69"/>
        <v>0</v>
      </c>
      <c r="G168" s="56">
        <v>5.7</v>
      </c>
      <c r="H168" s="56">
        <f t="shared" si="70"/>
        <v>0</v>
      </c>
      <c r="J168" s="54">
        <v>44761</v>
      </c>
      <c r="K168" s="55"/>
      <c r="L168" s="55"/>
      <c r="M168" s="55"/>
      <c r="N168" s="55"/>
      <c r="O168" s="55">
        <f t="shared" si="63"/>
        <v>0</v>
      </c>
      <c r="P168" s="56">
        <v>5.7</v>
      </c>
      <c r="Q168" s="56">
        <f t="shared" si="64"/>
        <v>0</v>
      </c>
      <c r="R168" s="56">
        <f t="shared" si="65"/>
        <v>0</v>
      </c>
    </row>
    <row r="169" spans="1:18" x14ac:dyDescent="0.25">
      <c r="A169" s="54">
        <v>44762</v>
      </c>
      <c r="B169" s="55"/>
      <c r="C169" s="55"/>
      <c r="D169" s="55"/>
      <c r="E169" s="55"/>
      <c r="F169" s="55">
        <f t="shared" si="69"/>
        <v>0</v>
      </c>
      <c r="G169" s="56">
        <v>5.7</v>
      </c>
      <c r="H169" s="56">
        <f t="shared" si="70"/>
        <v>0</v>
      </c>
      <c r="J169" s="54">
        <v>44762</v>
      </c>
      <c r="K169" s="55"/>
      <c r="L169" s="55"/>
      <c r="M169" s="55"/>
      <c r="N169" s="55"/>
      <c r="O169" s="55">
        <f t="shared" si="63"/>
        <v>0</v>
      </c>
      <c r="P169" s="56">
        <v>5.7</v>
      </c>
      <c r="Q169" s="56">
        <f t="shared" si="64"/>
        <v>0</v>
      </c>
      <c r="R169" s="56">
        <f t="shared" si="65"/>
        <v>0</v>
      </c>
    </row>
    <row r="170" spans="1:18" x14ac:dyDescent="0.25">
      <c r="A170" s="54">
        <v>44763</v>
      </c>
      <c r="B170" s="55"/>
      <c r="C170" s="55"/>
      <c r="D170" s="55"/>
      <c r="E170" s="55"/>
      <c r="F170" s="55">
        <f t="shared" si="69"/>
        <v>0</v>
      </c>
      <c r="G170" s="56">
        <v>5.73</v>
      </c>
      <c r="H170" s="56">
        <f t="shared" si="70"/>
        <v>0</v>
      </c>
      <c r="J170" s="54">
        <v>44763</v>
      </c>
      <c r="K170" s="55"/>
      <c r="L170" s="55"/>
      <c r="M170" s="55"/>
      <c r="N170" s="55"/>
      <c r="O170" s="55">
        <f t="shared" si="63"/>
        <v>0</v>
      </c>
      <c r="P170" s="56">
        <v>5.73</v>
      </c>
      <c r="Q170" s="56">
        <f t="shared" si="64"/>
        <v>0</v>
      </c>
      <c r="R170" s="56">
        <f t="shared" si="65"/>
        <v>0</v>
      </c>
    </row>
    <row r="171" spans="1:18" x14ac:dyDescent="0.25">
      <c r="A171" s="54">
        <v>44764</v>
      </c>
      <c r="B171" s="55"/>
      <c r="C171" s="55"/>
      <c r="D171" s="55"/>
      <c r="E171" s="55"/>
      <c r="F171" s="55">
        <f t="shared" si="69"/>
        <v>0</v>
      </c>
      <c r="G171" s="56">
        <v>5.73</v>
      </c>
      <c r="H171" s="56">
        <f t="shared" si="70"/>
        <v>0</v>
      </c>
      <c r="J171" s="54">
        <v>44764</v>
      </c>
      <c r="K171" s="55"/>
      <c r="L171" s="55"/>
      <c r="M171" s="55"/>
      <c r="N171" s="55"/>
      <c r="O171" s="55">
        <f t="shared" si="63"/>
        <v>0</v>
      </c>
      <c r="P171" s="56">
        <v>5.73</v>
      </c>
      <c r="Q171" s="56">
        <f t="shared" si="64"/>
        <v>0</v>
      </c>
      <c r="R171" s="56">
        <f t="shared" si="65"/>
        <v>0</v>
      </c>
    </row>
    <row r="172" spans="1:18" x14ac:dyDescent="0.25">
      <c r="A172" s="54">
        <v>44765</v>
      </c>
      <c r="B172" s="55"/>
      <c r="C172" s="55"/>
      <c r="D172" s="55"/>
      <c r="E172" s="55"/>
      <c r="F172" s="55">
        <f t="shared" si="69"/>
        <v>0</v>
      </c>
      <c r="G172" s="56">
        <v>5.73</v>
      </c>
      <c r="H172" s="56">
        <f t="shared" si="70"/>
        <v>0</v>
      </c>
      <c r="J172" s="54">
        <v>44765</v>
      </c>
      <c r="K172" s="55"/>
      <c r="L172" s="55"/>
      <c r="M172" s="55"/>
      <c r="N172" s="55"/>
      <c r="O172" s="55">
        <f t="shared" si="63"/>
        <v>0</v>
      </c>
      <c r="P172" s="56">
        <v>5.73</v>
      </c>
      <c r="Q172" s="56">
        <f t="shared" si="64"/>
        <v>0</v>
      </c>
      <c r="R172" s="56">
        <f t="shared" si="65"/>
        <v>0</v>
      </c>
    </row>
    <row r="173" spans="1:18" x14ac:dyDescent="0.25">
      <c r="A173" s="54">
        <v>44766</v>
      </c>
      <c r="B173" s="55"/>
      <c r="C173" s="55"/>
      <c r="D173" s="55"/>
      <c r="E173" s="55"/>
      <c r="F173" s="55">
        <f t="shared" si="69"/>
        <v>0</v>
      </c>
      <c r="G173" s="56">
        <v>5.73</v>
      </c>
      <c r="H173" s="56">
        <f>F173/G173</f>
        <v>0</v>
      </c>
      <c r="J173" s="54">
        <v>44766</v>
      </c>
      <c r="K173" s="55"/>
      <c r="L173" s="55"/>
      <c r="M173" s="55"/>
      <c r="N173" s="55"/>
      <c r="O173" s="55">
        <f t="shared" si="63"/>
        <v>0</v>
      </c>
      <c r="P173" s="56">
        <v>5.73</v>
      </c>
      <c r="Q173" s="56">
        <f t="shared" si="64"/>
        <v>0</v>
      </c>
      <c r="R173" s="56">
        <f t="shared" si="65"/>
        <v>0</v>
      </c>
    </row>
    <row r="174" spans="1:18" x14ac:dyDescent="0.25">
      <c r="A174" s="54">
        <v>44767</v>
      </c>
      <c r="B174" s="55"/>
      <c r="C174" s="55"/>
      <c r="D174" s="55"/>
      <c r="E174" s="55"/>
      <c r="F174" s="55">
        <f t="shared" si="69"/>
        <v>0</v>
      </c>
      <c r="G174" s="56">
        <v>5.73</v>
      </c>
      <c r="H174" s="56">
        <f t="shared" ref="H174:H179" si="71">F174/G174</f>
        <v>0</v>
      </c>
      <c r="J174" s="54">
        <v>44767</v>
      </c>
      <c r="K174" s="55"/>
      <c r="L174" s="55"/>
      <c r="M174" s="55"/>
      <c r="N174" s="55"/>
      <c r="O174" s="55">
        <f t="shared" si="63"/>
        <v>0</v>
      </c>
      <c r="P174" s="56">
        <v>5.73</v>
      </c>
      <c r="Q174" s="56">
        <f t="shared" si="64"/>
        <v>0</v>
      </c>
      <c r="R174" s="56">
        <f t="shared" si="65"/>
        <v>0</v>
      </c>
    </row>
    <row r="175" spans="1:18" x14ac:dyDescent="0.25">
      <c r="A175" s="54">
        <v>44768</v>
      </c>
      <c r="B175" s="55"/>
      <c r="C175" s="55"/>
      <c r="D175" s="55"/>
      <c r="E175" s="55"/>
      <c r="F175" s="55">
        <f t="shared" si="69"/>
        <v>0</v>
      </c>
      <c r="G175" s="56">
        <v>5.73</v>
      </c>
      <c r="H175" s="56">
        <f t="shared" si="71"/>
        <v>0</v>
      </c>
      <c r="J175" s="54">
        <v>44768</v>
      </c>
      <c r="K175" s="55"/>
      <c r="L175" s="55"/>
      <c r="M175" s="55"/>
      <c r="N175" s="55"/>
      <c r="O175" s="55">
        <f t="shared" si="63"/>
        <v>0</v>
      </c>
      <c r="P175" s="56">
        <v>5.73</v>
      </c>
      <c r="Q175" s="56">
        <f t="shared" si="64"/>
        <v>0</v>
      </c>
      <c r="R175" s="56">
        <f t="shared" si="65"/>
        <v>0</v>
      </c>
    </row>
    <row r="176" spans="1:18" x14ac:dyDescent="0.25">
      <c r="A176" s="54">
        <v>44769</v>
      </c>
      <c r="B176" s="55"/>
      <c r="C176" s="55"/>
      <c r="D176" s="55"/>
      <c r="E176" s="55"/>
      <c r="F176" s="55">
        <f t="shared" si="69"/>
        <v>0</v>
      </c>
      <c r="G176" s="56">
        <v>5.75</v>
      </c>
      <c r="H176" s="56">
        <f t="shared" si="71"/>
        <v>0</v>
      </c>
      <c r="J176" s="54">
        <v>44769</v>
      </c>
      <c r="K176" s="55"/>
      <c r="L176" s="55"/>
      <c r="M176" s="55"/>
      <c r="N176" s="55"/>
      <c r="O176" s="55">
        <f t="shared" si="63"/>
        <v>0</v>
      </c>
      <c r="P176" s="56">
        <v>5.75</v>
      </c>
      <c r="Q176" s="56">
        <f t="shared" si="64"/>
        <v>0</v>
      </c>
      <c r="R176" s="56">
        <f t="shared" si="65"/>
        <v>0</v>
      </c>
    </row>
    <row r="177" spans="1:18" x14ac:dyDescent="0.25">
      <c r="A177" s="54">
        <v>44770</v>
      </c>
      <c r="B177" s="55"/>
      <c r="C177" s="55"/>
      <c r="D177" s="55"/>
      <c r="E177" s="55"/>
      <c r="F177" s="55">
        <f t="shared" si="69"/>
        <v>0</v>
      </c>
      <c r="G177" s="56">
        <v>5.78</v>
      </c>
      <c r="H177" s="56">
        <f t="shared" si="71"/>
        <v>0</v>
      </c>
      <c r="J177" s="54">
        <v>44770</v>
      </c>
      <c r="K177" s="55"/>
      <c r="L177" s="55"/>
      <c r="M177" s="55"/>
      <c r="N177" s="55"/>
      <c r="O177" s="55">
        <f t="shared" si="63"/>
        <v>0</v>
      </c>
      <c r="P177" s="56">
        <v>5.78</v>
      </c>
      <c r="Q177" s="56">
        <f t="shared" si="64"/>
        <v>0</v>
      </c>
      <c r="R177" s="56">
        <f t="shared" si="65"/>
        <v>0</v>
      </c>
    </row>
    <row r="178" spans="1:18" x14ac:dyDescent="0.25">
      <c r="A178" s="54">
        <v>44771</v>
      </c>
      <c r="B178" s="55"/>
      <c r="C178" s="55"/>
      <c r="D178" s="55"/>
      <c r="E178" s="55"/>
      <c r="F178" s="55">
        <f t="shared" si="69"/>
        <v>0</v>
      </c>
      <c r="G178" s="56">
        <v>5.78</v>
      </c>
      <c r="H178" s="56">
        <f t="shared" si="71"/>
        <v>0</v>
      </c>
      <c r="J178" s="54">
        <v>44771</v>
      </c>
      <c r="K178" s="55"/>
      <c r="L178" s="55"/>
      <c r="M178" s="55"/>
      <c r="N178" s="55"/>
      <c r="O178" s="55">
        <f t="shared" si="63"/>
        <v>0</v>
      </c>
      <c r="P178" s="56">
        <v>5.78</v>
      </c>
      <c r="Q178" s="56">
        <f t="shared" si="64"/>
        <v>0</v>
      </c>
      <c r="R178" s="56">
        <f t="shared" si="65"/>
        <v>0</v>
      </c>
    </row>
    <row r="179" spans="1:18" x14ac:dyDescent="0.25">
      <c r="A179" s="54">
        <v>44772</v>
      </c>
      <c r="B179" s="55"/>
      <c r="C179" s="55"/>
      <c r="D179" s="55"/>
      <c r="E179" s="55"/>
      <c r="F179" s="55">
        <f t="shared" si="69"/>
        <v>0</v>
      </c>
      <c r="G179" s="56">
        <v>5.79</v>
      </c>
      <c r="H179" s="56">
        <f t="shared" si="71"/>
        <v>0</v>
      </c>
      <c r="J179" s="54">
        <v>44772</v>
      </c>
      <c r="K179" s="55"/>
      <c r="L179" s="55"/>
      <c r="M179" s="55"/>
      <c r="N179" s="55"/>
      <c r="O179" s="55">
        <f t="shared" si="63"/>
        <v>0</v>
      </c>
      <c r="P179" s="56">
        <v>5.79</v>
      </c>
      <c r="Q179" s="56">
        <f t="shared" si="64"/>
        <v>0</v>
      </c>
      <c r="R179" s="56">
        <f t="shared" si="65"/>
        <v>0</v>
      </c>
    </row>
    <row r="180" spans="1:18" x14ac:dyDescent="0.25">
      <c r="A180" s="54">
        <v>44773</v>
      </c>
      <c r="B180" s="50">
        <v>777.46</v>
      </c>
      <c r="C180" s="50"/>
      <c r="D180" s="50">
        <v>771.63</v>
      </c>
      <c r="E180" s="50"/>
      <c r="F180" s="55">
        <f t="shared" si="69"/>
        <v>777.46</v>
      </c>
      <c r="G180" s="56">
        <v>5.79</v>
      </c>
      <c r="H180" s="56">
        <f>F180/G180</f>
        <v>134.27633851468048</v>
      </c>
      <c r="J180" s="54">
        <v>44773</v>
      </c>
      <c r="K180" s="50">
        <v>771.63</v>
      </c>
      <c r="L180" s="50"/>
      <c r="M180" s="50"/>
      <c r="N180" s="50"/>
      <c r="O180" s="55">
        <f t="shared" si="63"/>
        <v>771.63</v>
      </c>
      <c r="P180" s="56">
        <v>5.79</v>
      </c>
      <c r="Q180" s="56">
        <f t="shared" si="64"/>
        <v>133.26943005181346</v>
      </c>
      <c r="R180" s="56">
        <f t="shared" si="65"/>
        <v>2.6653886010362693</v>
      </c>
    </row>
    <row r="181" spans="1:18" x14ac:dyDescent="0.25">
      <c r="F181" s="58">
        <f>SUM(F150:F180)</f>
        <v>39914.46</v>
      </c>
      <c r="G181" s="59"/>
      <c r="H181" s="48">
        <f>SUM(H150:H180)</f>
        <v>7103.7620882426327</v>
      </c>
      <c r="O181" s="58">
        <f>SUM(O150:O180)</f>
        <v>39635.97</v>
      </c>
      <c r="P181" s="60"/>
      <c r="Q181" s="61">
        <f>SUM(Q150:Q180)</f>
        <v>7054.1972847325042</v>
      </c>
      <c r="R181" s="61">
        <f>SUM(R150:R180)</f>
        <v>141.08394569465011</v>
      </c>
    </row>
    <row r="182" spans="1:18" x14ac:dyDescent="0.25">
      <c r="I182" s="23">
        <v>44770</v>
      </c>
      <c r="J182" s="11"/>
      <c r="K182" s="11">
        <v>5.78</v>
      </c>
      <c r="L182" s="11">
        <f t="shared" ref="L182:L185" si="72">J182/K182</f>
        <v>0</v>
      </c>
    </row>
    <row r="183" spans="1:18" x14ac:dyDescent="0.25">
      <c r="I183" s="23">
        <v>44771</v>
      </c>
      <c r="J183" s="11"/>
      <c r="K183" s="11">
        <v>5.78</v>
      </c>
      <c r="L183" s="11">
        <f t="shared" si="72"/>
        <v>0</v>
      </c>
    </row>
    <row r="184" spans="1:18" x14ac:dyDescent="0.25">
      <c r="I184" s="23">
        <v>44772</v>
      </c>
      <c r="J184" s="44"/>
      <c r="K184" s="11">
        <v>5.79</v>
      </c>
      <c r="L184" s="11">
        <f t="shared" si="72"/>
        <v>0</v>
      </c>
    </row>
    <row r="185" spans="1:18" x14ac:dyDescent="0.25">
      <c r="A185" s="69"/>
      <c r="B185" s="68" t="s">
        <v>32</v>
      </c>
      <c r="C185" s="69"/>
      <c r="I185" s="23">
        <v>44773</v>
      </c>
      <c r="J185" s="44"/>
      <c r="K185" s="11">
        <v>5.78</v>
      </c>
      <c r="L185" s="11">
        <f t="shared" si="72"/>
        <v>0</v>
      </c>
    </row>
    <row r="190" spans="1:18" ht="45" x14ac:dyDescent="0.25">
      <c r="B190" s="68" t="s">
        <v>31</v>
      </c>
      <c r="C190" s="69" t="s">
        <v>51</v>
      </c>
      <c r="D190" s="69"/>
      <c r="E190" s="68" t="s">
        <v>32</v>
      </c>
      <c r="F190" s="85">
        <v>44775</v>
      </c>
      <c r="I190" s="77" t="s">
        <v>0</v>
      </c>
      <c r="J190" s="77" t="s">
        <v>50</v>
      </c>
      <c r="K190" s="9" t="s">
        <v>9</v>
      </c>
      <c r="L190" s="9" t="s">
        <v>6</v>
      </c>
    </row>
    <row r="191" spans="1:18" x14ac:dyDescent="0.25">
      <c r="B191" s="68" t="s">
        <v>33</v>
      </c>
      <c r="C191" s="69" t="s">
        <v>34</v>
      </c>
      <c r="D191" s="69"/>
      <c r="E191" s="69"/>
      <c r="F191" s="69"/>
      <c r="I191" s="23">
        <v>44743</v>
      </c>
      <c r="J191" s="11">
        <v>12018.313</v>
      </c>
      <c r="K191" s="11">
        <v>5.56</v>
      </c>
      <c r="L191" s="11">
        <f>J191/K191</f>
        <v>2161.5670863309356</v>
      </c>
    </row>
    <row r="192" spans="1:18" x14ac:dyDescent="0.25">
      <c r="B192" s="68" t="s">
        <v>35</v>
      </c>
      <c r="C192" s="70" t="s">
        <v>58</v>
      </c>
      <c r="D192" s="70"/>
      <c r="E192" s="70"/>
      <c r="F192" s="70"/>
      <c r="I192" s="23">
        <v>44744</v>
      </c>
      <c r="J192" s="11">
        <v>19429.03</v>
      </c>
      <c r="K192" s="11">
        <v>5.56</v>
      </c>
      <c r="L192" s="11">
        <f t="shared" ref="L192:L221" si="73">J192/K192</f>
        <v>3494.4298561151081</v>
      </c>
    </row>
    <row r="193" spans="2:12" x14ac:dyDescent="0.25">
      <c r="I193" s="23">
        <v>44745</v>
      </c>
      <c r="J193" s="11">
        <v>23262.35</v>
      </c>
      <c r="K193" s="11">
        <v>5.56</v>
      </c>
      <c r="L193" s="11">
        <f t="shared" si="73"/>
        <v>4183.8758992805751</v>
      </c>
    </row>
    <row r="194" spans="2:12" x14ac:dyDescent="0.25">
      <c r="B194" s="68" t="s">
        <v>36</v>
      </c>
      <c r="C194" s="71" t="s">
        <v>11</v>
      </c>
      <c r="D194" s="71" t="s">
        <v>37</v>
      </c>
      <c r="E194" s="71" t="s">
        <v>38</v>
      </c>
      <c r="F194" s="71" t="s">
        <v>39</v>
      </c>
      <c r="I194" s="23">
        <v>44746</v>
      </c>
      <c r="J194" s="11">
        <v>11751.07</v>
      </c>
      <c r="K194" s="11">
        <v>5.56</v>
      </c>
      <c r="L194" s="11">
        <f t="shared" si="73"/>
        <v>2113.5017985611512</v>
      </c>
    </row>
    <row r="195" spans="2:12" x14ac:dyDescent="0.25">
      <c r="B195" s="72" t="s">
        <v>40</v>
      </c>
      <c r="C195" s="44"/>
      <c r="D195" s="11"/>
      <c r="E195" s="11">
        <v>9163.4309438354412</v>
      </c>
      <c r="F195" s="44"/>
      <c r="I195" s="23">
        <v>44747</v>
      </c>
      <c r="J195" s="11">
        <v>15989.51</v>
      </c>
      <c r="K195" s="11">
        <v>5.56</v>
      </c>
      <c r="L195" s="11">
        <f t="shared" si="73"/>
        <v>2875.8111510791368</v>
      </c>
    </row>
    <row r="196" spans="2:12" x14ac:dyDescent="0.25">
      <c r="B196" s="72" t="s">
        <v>41</v>
      </c>
      <c r="C196" s="44"/>
      <c r="D196" s="11"/>
      <c r="E196" s="11">
        <v>36183</v>
      </c>
      <c r="F196" s="44"/>
      <c r="I196" s="23">
        <v>44748</v>
      </c>
      <c r="J196" s="11">
        <v>14102.07</v>
      </c>
      <c r="K196" s="11">
        <v>5.56</v>
      </c>
      <c r="L196" s="11">
        <f t="shared" si="73"/>
        <v>2536.3435251798564</v>
      </c>
    </row>
    <row r="197" spans="2:12" x14ac:dyDescent="0.25">
      <c r="B197" s="72" t="s">
        <v>42</v>
      </c>
      <c r="C197" s="44"/>
      <c r="D197" s="11"/>
      <c r="E197" s="11">
        <v>85</v>
      </c>
      <c r="F197" s="44"/>
      <c r="I197" s="23">
        <v>44749</v>
      </c>
      <c r="J197" s="11">
        <v>14751.93</v>
      </c>
      <c r="K197" s="11">
        <v>5.57</v>
      </c>
      <c r="L197" s="11">
        <f t="shared" si="73"/>
        <v>2648.4614003590664</v>
      </c>
    </row>
    <row r="198" spans="2:12" x14ac:dyDescent="0.25">
      <c r="B198" s="72" t="s">
        <v>43</v>
      </c>
      <c r="C198" s="44"/>
      <c r="D198" s="44"/>
      <c r="E198" s="11">
        <v>148.88</v>
      </c>
      <c r="F198" s="44"/>
      <c r="I198" s="23">
        <v>44750</v>
      </c>
      <c r="J198" s="11">
        <v>20568.580000000002</v>
      </c>
      <c r="K198" s="11">
        <v>5.61</v>
      </c>
      <c r="L198" s="11">
        <f t="shared" si="73"/>
        <v>3666.4135472370767</v>
      </c>
    </row>
    <row r="199" spans="2:12" x14ac:dyDescent="0.25">
      <c r="B199" s="72" t="s">
        <v>44</v>
      </c>
      <c r="C199" s="44"/>
      <c r="D199" s="44"/>
      <c r="E199" s="11">
        <v>290.98</v>
      </c>
      <c r="F199" s="44"/>
      <c r="I199" s="23">
        <v>44751</v>
      </c>
      <c r="J199" s="11">
        <v>23928.06</v>
      </c>
      <c r="K199" s="11">
        <v>5.61</v>
      </c>
      <c r="L199" s="11">
        <f t="shared" si="73"/>
        <v>4265.2513368983955</v>
      </c>
    </row>
    <row r="200" spans="2:12" x14ac:dyDescent="0.25">
      <c r="B200" s="72" t="s">
        <v>45</v>
      </c>
      <c r="C200" s="11" t="s">
        <v>22</v>
      </c>
      <c r="D200" s="11" t="s">
        <v>60</v>
      </c>
      <c r="E200" s="11">
        <v>8476.7518349304573</v>
      </c>
      <c r="F200" s="11">
        <v>8404.8555256936379</v>
      </c>
      <c r="I200" s="23">
        <v>44752</v>
      </c>
      <c r="J200" s="11">
        <v>22162.12</v>
      </c>
      <c r="K200" s="11">
        <v>5.61</v>
      </c>
      <c r="L200" s="11">
        <f t="shared" si="73"/>
        <v>3950.4670231729051</v>
      </c>
    </row>
    <row r="201" spans="2:12" x14ac:dyDescent="0.25">
      <c r="B201" s="72" t="s">
        <v>45</v>
      </c>
      <c r="C201" s="11" t="s">
        <v>22</v>
      </c>
      <c r="D201" s="11" t="s">
        <v>61</v>
      </c>
      <c r="E201" s="11">
        <v>16231.709496930993</v>
      </c>
      <c r="F201" s="11">
        <v>16085.430999048185</v>
      </c>
      <c r="I201" s="23">
        <v>44753</v>
      </c>
      <c r="J201" s="11">
        <v>13419.17</v>
      </c>
      <c r="K201" s="11">
        <v>5.61</v>
      </c>
      <c r="L201" s="11">
        <f t="shared" si="73"/>
        <v>2392.0089126559715</v>
      </c>
    </row>
    <row r="202" spans="2:12" x14ac:dyDescent="0.25">
      <c r="B202" s="72" t="s">
        <v>45</v>
      </c>
      <c r="C202" s="50" t="s">
        <v>46</v>
      </c>
      <c r="D202" s="44" t="s">
        <v>62</v>
      </c>
      <c r="E202" s="11">
        <v>6446.738669299144</v>
      </c>
      <c r="F202" s="11">
        <v>6382.1342401307929</v>
      </c>
      <c r="I202" s="23">
        <v>44754</v>
      </c>
      <c r="J202" s="11">
        <v>12985.35</v>
      </c>
      <c r="K202" s="11">
        <v>5.62</v>
      </c>
      <c r="L202" s="11">
        <f t="shared" si="73"/>
        <v>2310.5604982206405</v>
      </c>
    </row>
    <row r="203" spans="2:12" x14ac:dyDescent="0.25">
      <c r="B203" s="72" t="s">
        <v>45</v>
      </c>
      <c r="C203" s="44" t="s">
        <v>63</v>
      </c>
      <c r="D203" s="44" t="s">
        <v>60</v>
      </c>
      <c r="E203" s="11">
        <v>11325.497116077117</v>
      </c>
      <c r="F203" s="11">
        <v>11226.51140049984</v>
      </c>
      <c r="I203" s="23">
        <v>44755</v>
      </c>
      <c r="J203" s="11">
        <v>14931.45</v>
      </c>
      <c r="K203" s="11">
        <v>5.66</v>
      </c>
      <c r="L203" s="11">
        <f t="shared" si="73"/>
        <v>2638.0653710247352</v>
      </c>
    </row>
    <row r="204" spans="2:12" x14ac:dyDescent="0.25">
      <c r="B204" s="72" t="s">
        <v>45</v>
      </c>
      <c r="C204" s="44" t="s">
        <v>63</v>
      </c>
      <c r="D204" s="44" t="s">
        <v>62</v>
      </c>
      <c r="E204" s="11">
        <v>7103.7620882426327</v>
      </c>
      <c r="F204" s="11">
        <v>7054.1972847325042</v>
      </c>
      <c r="I204" s="23">
        <v>44756</v>
      </c>
      <c r="J204" s="11">
        <v>14226.78</v>
      </c>
      <c r="K204" s="11">
        <v>5.68</v>
      </c>
      <c r="L204" s="11">
        <f t="shared" si="73"/>
        <v>2504.7147887323945</v>
      </c>
    </row>
    <row r="205" spans="2:12" x14ac:dyDescent="0.25">
      <c r="B205" s="72" t="s">
        <v>45</v>
      </c>
      <c r="C205" s="44"/>
      <c r="D205" s="44"/>
      <c r="E205" s="44"/>
      <c r="F205" s="44"/>
      <c r="I205" s="23">
        <v>44757</v>
      </c>
      <c r="J205" s="11">
        <v>15530.88</v>
      </c>
      <c r="K205" s="11">
        <v>5.7</v>
      </c>
      <c r="L205" s="11">
        <f t="shared" si="73"/>
        <v>2724.7157894736838</v>
      </c>
    </row>
    <row r="206" spans="2:12" x14ac:dyDescent="0.25">
      <c r="B206" s="72" t="s">
        <v>45</v>
      </c>
      <c r="C206" s="44"/>
      <c r="D206" s="44"/>
      <c r="E206" s="44"/>
      <c r="F206" s="44"/>
      <c r="I206" s="23">
        <v>44758</v>
      </c>
      <c r="J206" s="11">
        <v>24662.51</v>
      </c>
      <c r="K206" s="11">
        <v>5.7</v>
      </c>
      <c r="L206" s="11">
        <f t="shared" si="73"/>
        <v>4326.7561403508771</v>
      </c>
    </row>
    <row r="207" spans="2:12" x14ac:dyDescent="0.25">
      <c r="B207" s="72" t="s">
        <v>45</v>
      </c>
      <c r="C207" s="44"/>
      <c r="D207" s="44"/>
      <c r="E207" s="44"/>
      <c r="F207" s="44"/>
      <c r="I207" s="23">
        <v>44759</v>
      </c>
      <c r="J207" s="11">
        <v>23941.08</v>
      </c>
      <c r="K207" s="11">
        <v>5.7</v>
      </c>
      <c r="L207" s="11">
        <f t="shared" si="73"/>
        <v>4200.1894736842105</v>
      </c>
    </row>
    <row r="208" spans="2:12" x14ac:dyDescent="0.25">
      <c r="B208" s="72" t="s">
        <v>45</v>
      </c>
      <c r="C208" s="44"/>
      <c r="D208" s="44"/>
      <c r="E208" s="44"/>
      <c r="F208" s="44"/>
      <c r="I208" s="23">
        <v>44760</v>
      </c>
      <c r="J208" s="11">
        <v>12811.45</v>
      </c>
      <c r="K208" s="11">
        <v>5.7</v>
      </c>
      <c r="L208" s="11">
        <f t="shared" si="73"/>
        <v>2247.6228070175439</v>
      </c>
    </row>
    <row r="209" spans="2:12" x14ac:dyDescent="0.25">
      <c r="B209" s="72" t="s">
        <v>45</v>
      </c>
      <c r="C209" s="44"/>
      <c r="D209" s="44"/>
      <c r="E209" s="44"/>
      <c r="F209" s="44"/>
      <c r="I209" s="23">
        <v>44761</v>
      </c>
      <c r="J209" s="11">
        <v>11671.4</v>
      </c>
      <c r="K209" s="11">
        <v>5.7</v>
      </c>
      <c r="L209" s="11">
        <f t="shared" si="73"/>
        <v>2047.6140350877192</v>
      </c>
    </row>
    <row r="210" spans="2:12" x14ac:dyDescent="0.25">
      <c r="B210" s="72" t="s">
        <v>46</v>
      </c>
      <c r="C210" s="44"/>
      <c r="D210" s="44"/>
      <c r="E210" s="44"/>
      <c r="F210" s="44"/>
      <c r="I210" s="23">
        <v>44762</v>
      </c>
      <c r="J210" s="11">
        <v>11663.97</v>
      </c>
      <c r="K210" s="11">
        <v>5.7</v>
      </c>
      <c r="L210" s="11">
        <f t="shared" si="73"/>
        <v>2046.3105263157893</v>
      </c>
    </row>
    <row r="211" spans="2:12" x14ac:dyDescent="0.25">
      <c r="B211" s="72" t="s">
        <v>6</v>
      </c>
      <c r="C211" s="44"/>
      <c r="D211" s="44"/>
      <c r="E211" s="44"/>
      <c r="F211" s="44"/>
      <c r="I211" s="23">
        <v>44763</v>
      </c>
      <c r="J211" s="11">
        <v>15343.25</v>
      </c>
      <c r="K211" s="11">
        <v>5.73</v>
      </c>
      <c r="L211" s="11">
        <f t="shared" si="73"/>
        <v>2677.7050610820243</v>
      </c>
    </row>
    <row r="212" spans="2:12" x14ac:dyDescent="0.25">
      <c r="E212" s="46">
        <f>SUM(E195:E211)</f>
        <v>95455.750149315776</v>
      </c>
      <c r="I212" s="23">
        <v>44764</v>
      </c>
      <c r="J212" s="11">
        <v>18781.056</v>
      </c>
      <c r="K212" s="11">
        <v>5.73</v>
      </c>
      <c r="L212" s="11">
        <f t="shared" si="73"/>
        <v>3277.6712041884816</v>
      </c>
    </row>
    <row r="213" spans="2:12" x14ac:dyDescent="0.25">
      <c r="I213" s="23">
        <v>44765</v>
      </c>
      <c r="J213" s="11">
        <v>21968.45</v>
      </c>
      <c r="K213" s="11">
        <v>5.73</v>
      </c>
      <c r="L213" s="11">
        <f t="shared" si="73"/>
        <v>3833.9354275741707</v>
      </c>
    </row>
    <row r="214" spans="2:12" x14ac:dyDescent="0.25">
      <c r="I214" s="23">
        <v>44766</v>
      </c>
      <c r="J214" s="11">
        <v>23245.02</v>
      </c>
      <c r="K214" s="11">
        <v>5.73</v>
      </c>
      <c r="L214" s="11">
        <f t="shared" si="73"/>
        <v>4056.7225130890051</v>
      </c>
    </row>
    <row r="215" spans="2:12" x14ac:dyDescent="0.25">
      <c r="I215" s="23">
        <v>44767</v>
      </c>
      <c r="J215" s="11">
        <v>14037.34</v>
      </c>
      <c r="K215" s="11">
        <v>5.73</v>
      </c>
      <c r="L215" s="11">
        <f t="shared" si="73"/>
        <v>2449.7975567190224</v>
      </c>
    </row>
    <row r="216" spans="2:12" x14ac:dyDescent="0.25">
      <c r="I216" s="23">
        <v>44768</v>
      </c>
      <c r="J216" s="11">
        <v>14930.82</v>
      </c>
      <c r="K216" s="11">
        <v>5.73</v>
      </c>
      <c r="L216" s="11">
        <f t="shared" si="73"/>
        <v>2605.7277486910994</v>
      </c>
    </row>
    <row r="217" spans="2:12" x14ac:dyDescent="0.25">
      <c r="I217" s="23">
        <v>44769</v>
      </c>
      <c r="J217" s="11">
        <v>13365.29</v>
      </c>
      <c r="K217" s="11">
        <v>5.75</v>
      </c>
      <c r="L217" s="11">
        <f t="shared" si="73"/>
        <v>2324.3982608695655</v>
      </c>
    </row>
    <row r="218" spans="2:12" x14ac:dyDescent="0.25">
      <c r="I218" s="23">
        <v>44770</v>
      </c>
      <c r="J218" s="11">
        <v>15701.3</v>
      </c>
      <c r="K218" s="11">
        <v>5.78</v>
      </c>
      <c r="L218" s="11">
        <f t="shared" si="73"/>
        <v>2716.4878892733564</v>
      </c>
    </row>
    <row r="219" spans="2:12" x14ac:dyDescent="0.25">
      <c r="I219" s="23">
        <v>44771</v>
      </c>
      <c r="J219" s="11">
        <v>20226.099999999999</v>
      </c>
      <c r="K219" s="11">
        <v>5.78</v>
      </c>
      <c r="L219" s="11">
        <f t="shared" si="73"/>
        <v>3499.3252595155705</v>
      </c>
    </row>
    <row r="220" spans="2:12" x14ac:dyDescent="0.25">
      <c r="I220" s="23">
        <v>44772</v>
      </c>
      <c r="J220" s="11">
        <v>27016.25</v>
      </c>
      <c r="K220" s="11">
        <v>5.79</v>
      </c>
      <c r="L220" s="11">
        <f t="shared" si="73"/>
        <v>4666.0189982728843</v>
      </c>
    </row>
    <row r="221" spans="2:12" x14ac:dyDescent="0.25">
      <c r="I221" s="23">
        <v>44773</v>
      </c>
      <c r="J221" s="11">
        <v>22226.92</v>
      </c>
      <c r="K221" s="11">
        <v>5.79</v>
      </c>
      <c r="L221" s="11">
        <f t="shared" si="73"/>
        <v>3838.8462867012086</v>
      </c>
    </row>
    <row r="222" spans="2:12" x14ac:dyDescent="0.25">
      <c r="L222" s="47">
        <f>SUM(L191:L221)</f>
        <v>95281.317172754148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K33" sqref="K33"/>
    </sheetView>
  </sheetViews>
  <sheetFormatPr baseColWidth="10" defaultRowHeight="15" x14ac:dyDescent="0.25"/>
  <sheetData>
    <row r="1" spans="1:12" ht="45" x14ac:dyDescent="0.25">
      <c r="A1" s="73" t="s">
        <v>0</v>
      </c>
      <c r="B1" s="78" t="s">
        <v>40</v>
      </c>
      <c r="C1" s="78" t="s">
        <v>47</v>
      </c>
      <c r="D1" s="78" t="s">
        <v>48</v>
      </c>
      <c r="E1" s="78" t="s">
        <v>49</v>
      </c>
      <c r="F1" s="78" t="s">
        <v>48</v>
      </c>
      <c r="G1" s="78" t="s">
        <v>42</v>
      </c>
      <c r="H1" s="78" t="s">
        <v>48</v>
      </c>
      <c r="I1" s="78" t="s">
        <v>43</v>
      </c>
      <c r="J1" s="78" t="s">
        <v>48</v>
      </c>
      <c r="K1" s="78" t="s">
        <v>44</v>
      </c>
      <c r="L1" s="78" t="s">
        <v>48</v>
      </c>
    </row>
    <row r="2" spans="1:12" x14ac:dyDescent="0.25">
      <c r="A2" s="2">
        <v>44743</v>
      </c>
      <c r="B2" s="74">
        <v>1586.5</v>
      </c>
      <c r="C2" s="74">
        <v>5.56</v>
      </c>
      <c r="D2" s="74">
        <f>B2/C2</f>
        <v>285.34172661870508</v>
      </c>
      <c r="E2" s="75">
        <v>1062</v>
      </c>
      <c r="F2" s="75">
        <v>5883.4800000000005</v>
      </c>
      <c r="G2" s="75">
        <v>0</v>
      </c>
      <c r="H2" s="75">
        <v>0</v>
      </c>
      <c r="I2" s="75">
        <v>0</v>
      </c>
      <c r="J2" s="75">
        <v>0</v>
      </c>
      <c r="K2" s="11">
        <v>0</v>
      </c>
      <c r="L2" s="11">
        <v>0</v>
      </c>
    </row>
    <row r="3" spans="1:12" x14ac:dyDescent="0.25">
      <c r="A3" s="2">
        <v>44744</v>
      </c>
      <c r="B3" s="74">
        <v>2130</v>
      </c>
      <c r="C3" s="74">
        <v>5.56</v>
      </c>
      <c r="D3" s="74">
        <f>B3/C3</f>
        <v>383.09352517985616</v>
      </c>
      <c r="E3" s="75">
        <v>1904</v>
      </c>
      <c r="F3" s="75">
        <v>10548.16</v>
      </c>
      <c r="G3" s="75">
        <v>0</v>
      </c>
      <c r="H3" s="75">
        <v>0</v>
      </c>
      <c r="I3" s="75">
        <v>0</v>
      </c>
      <c r="J3" s="75">
        <v>0</v>
      </c>
      <c r="K3" s="11">
        <v>11.05</v>
      </c>
      <c r="L3" s="11">
        <v>61.217000000000006</v>
      </c>
    </row>
    <row r="4" spans="1:12" x14ac:dyDescent="0.25">
      <c r="A4" s="2">
        <v>44745</v>
      </c>
      <c r="B4" s="74">
        <v>1939.5</v>
      </c>
      <c r="C4" s="74">
        <v>5.56</v>
      </c>
      <c r="D4" s="74">
        <f t="shared" ref="D4:D24" si="0">B4/C4</f>
        <v>348.83093525179856</v>
      </c>
      <c r="E4" s="75">
        <v>1773</v>
      </c>
      <c r="F4" s="75">
        <v>9857.8799999999992</v>
      </c>
      <c r="G4" s="75">
        <v>0</v>
      </c>
      <c r="H4" s="75">
        <v>0</v>
      </c>
      <c r="I4" s="75">
        <v>0</v>
      </c>
      <c r="J4" s="75">
        <v>0</v>
      </c>
      <c r="K4" s="11">
        <v>97.26</v>
      </c>
      <c r="L4" s="11">
        <v>540.76559999999995</v>
      </c>
    </row>
    <row r="5" spans="1:12" x14ac:dyDescent="0.25">
      <c r="A5" s="2">
        <v>44746</v>
      </c>
      <c r="B5" s="74">
        <v>1070</v>
      </c>
      <c r="C5" s="74">
        <v>5.56</v>
      </c>
      <c r="D5" s="74">
        <f t="shared" si="0"/>
        <v>192.44604316546764</v>
      </c>
      <c r="E5" s="75">
        <v>819</v>
      </c>
      <c r="F5" s="75">
        <v>4553.6399999999994</v>
      </c>
      <c r="G5" s="75">
        <v>0</v>
      </c>
      <c r="H5" s="75">
        <v>0</v>
      </c>
      <c r="I5" s="75">
        <v>0</v>
      </c>
      <c r="J5" s="75">
        <v>0</v>
      </c>
      <c r="K5" s="11">
        <v>0</v>
      </c>
      <c r="L5" s="11">
        <v>0</v>
      </c>
    </row>
    <row r="6" spans="1:12" x14ac:dyDescent="0.25">
      <c r="A6" s="2">
        <v>44747</v>
      </c>
      <c r="B6" s="74">
        <v>2059.5</v>
      </c>
      <c r="C6" s="74">
        <v>5.56</v>
      </c>
      <c r="D6" s="74">
        <f t="shared" si="0"/>
        <v>370.41366906474821</v>
      </c>
      <c r="E6" s="75">
        <v>1038</v>
      </c>
      <c r="F6" s="75">
        <v>5771.28</v>
      </c>
      <c r="G6" s="75">
        <v>0</v>
      </c>
      <c r="H6" s="75">
        <v>0</v>
      </c>
      <c r="I6" s="75">
        <v>0</v>
      </c>
      <c r="J6" s="75">
        <v>0</v>
      </c>
      <c r="K6" s="11">
        <v>0</v>
      </c>
      <c r="L6" s="11">
        <v>0</v>
      </c>
    </row>
    <row r="7" spans="1:12" x14ac:dyDescent="0.25">
      <c r="A7" s="2">
        <v>44748</v>
      </c>
      <c r="B7" s="74">
        <v>1625</v>
      </c>
      <c r="C7" s="74">
        <v>5.56</v>
      </c>
      <c r="D7" s="74">
        <f t="shared" si="0"/>
        <v>292.26618705035975</v>
      </c>
      <c r="E7" s="75">
        <v>937</v>
      </c>
      <c r="F7" s="75">
        <v>5209.7199999999993</v>
      </c>
      <c r="G7" s="75">
        <v>0</v>
      </c>
      <c r="H7" s="75">
        <v>0</v>
      </c>
      <c r="I7" s="75">
        <v>0</v>
      </c>
      <c r="J7" s="75">
        <v>0</v>
      </c>
      <c r="K7" s="11">
        <v>24.63</v>
      </c>
      <c r="L7" s="11">
        <v>136.94279999999998</v>
      </c>
    </row>
    <row r="8" spans="1:12" x14ac:dyDescent="0.25">
      <c r="A8" s="2">
        <v>44749</v>
      </c>
      <c r="B8" s="74">
        <v>1759.5</v>
      </c>
      <c r="C8" s="74">
        <v>5.57</v>
      </c>
      <c r="D8" s="74">
        <f t="shared" si="0"/>
        <v>315.88868940754037</v>
      </c>
      <c r="E8" s="75">
        <v>855</v>
      </c>
      <c r="F8" s="75">
        <v>4753.7999999999993</v>
      </c>
      <c r="G8" s="75">
        <v>0</v>
      </c>
      <c r="H8" s="75">
        <v>0</v>
      </c>
      <c r="I8" s="75">
        <v>0</v>
      </c>
      <c r="J8" s="75">
        <v>0</v>
      </c>
      <c r="K8" s="11">
        <v>0</v>
      </c>
      <c r="L8" s="11">
        <v>0</v>
      </c>
    </row>
    <row r="9" spans="1:12" x14ac:dyDescent="0.25">
      <c r="A9" s="2">
        <v>44750</v>
      </c>
      <c r="B9" s="74">
        <v>1323</v>
      </c>
      <c r="C9" s="74">
        <v>5.61</v>
      </c>
      <c r="D9" s="74">
        <f t="shared" si="0"/>
        <v>235.82887700534758</v>
      </c>
      <c r="E9" s="75">
        <v>1135</v>
      </c>
      <c r="F9" s="75">
        <v>6343.8700000000008</v>
      </c>
      <c r="G9" s="75">
        <v>0</v>
      </c>
      <c r="H9" s="75">
        <v>0</v>
      </c>
      <c r="I9" s="75">
        <v>0</v>
      </c>
      <c r="J9" s="75">
        <v>0</v>
      </c>
      <c r="K9" s="11">
        <v>13.19</v>
      </c>
      <c r="L9" s="11">
        <v>73.995900000000006</v>
      </c>
    </row>
    <row r="10" spans="1:12" x14ac:dyDescent="0.25">
      <c r="A10" s="2">
        <v>44751</v>
      </c>
      <c r="B10" s="74">
        <v>2301.5</v>
      </c>
      <c r="C10" s="74">
        <v>5.61</v>
      </c>
      <c r="D10" s="74">
        <f t="shared" si="0"/>
        <v>410.24955436720143</v>
      </c>
      <c r="E10" s="75">
        <v>1597</v>
      </c>
      <c r="F10" s="75">
        <v>8959.17</v>
      </c>
      <c r="G10" s="75">
        <v>0</v>
      </c>
      <c r="H10" s="75">
        <v>0</v>
      </c>
      <c r="I10" s="75">
        <v>0</v>
      </c>
      <c r="J10" s="75">
        <v>0</v>
      </c>
      <c r="K10" s="11">
        <v>0</v>
      </c>
      <c r="L10" s="11">
        <v>0</v>
      </c>
    </row>
    <row r="11" spans="1:12" x14ac:dyDescent="0.25">
      <c r="A11" s="2">
        <v>44752</v>
      </c>
      <c r="B11" s="74">
        <v>1569</v>
      </c>
      <c r="C11" s="74">
        <v>5.61</v>
      </c>
      <c r="D11" s="74">
        <f t="shared" si="0"/>
        <v>279.67914438502675</v>
      </c>
      <c r="E11" s="75">
        <v>1307</v>
      </c>
      <c r="F11" s="75">
        <v>7332.27</v>
      </c>
      <c r="G11" s="75">
        <v>0</v>
      </c>
      <c r="H11" s="75">
        <v>0</v>
      </c>
      <c r="I11" s="75">
        <v>0</v>
      </c>
      <c r="J11" s="75">
        <v>0</v>
      </c>
      <c r="K11" s="11">
        <v>0</v>
      </c>
      <c r="L11" s="11">
        <v>0</v>
      </c>
    </row>
    <row r="12" spans="1:12" x14ac:dyDescent="0.25">
      <c r="A12" s="2">
        <v>44753</v>
      </c>
      <c r="B12" s="74">
        <v>1518</v>
      </c>
      <c r="C12" s="74">
        <v>5.61</v>
      </c>
      <c r="D12" s="74">
        <f>B12/C12</f>
        <v>270.58823529411762</v>
      </c>
      <c r="E12" s="75">
        <v>857</v>
      </c>
      <c r="F12" s="75">
        <v>4807.7700000000004</v>
      </c>
      <c r="G12" s="75">
        <v>0</v>
      </c>
      <c r="H12" s="75">
        <v>0</v>
      </c>
      <c r="I12" s="75">
        <v>0</v>
      </c>
      <c r="J12" s="75">
        <v>0</v>
      </c>
      <c r="K12" s="11">
        <v>0</v>
      </c>
      <c r="L12" s="11">
        <v>0</v>
      </c>
    </row>
    <row r="13" spans="1:12" x14ac:dyDescent="0.25">
      <c r="A13" s="2">
        <v>44754</v>
      </c>
      <c r="B13" s="74">
        <v>1218.5</v>
      </c>
      <c r="C13" s="74">
        <v>5.62</v>
      </c>
      <c r="D13" s="74">
        <f t="shared" si="0"/>
        <v>216.81494661921707</v>
      </c>
      <c r="E13" s="75">
        <v>843</v>
      </c>
      <c r="F13" s="75">
        <v>4720.8599999999997</v>
      </c>
      <c r="G13" s="75">
        <v>0</v>
      </c>
      <c r="H13" s="75">
        <v>0</v>
      </c>
      <c r="I13" s="75">
        <v>0</v>
      </c>
      <c r="J13" s="75">
        <v>0</v>
      </c>
      <c r="K13" s="11">
        <v>0</v>
      </c>
      <c r="L13" s="11">
        <v>0</v>
      </c>
    </row>
    <row r="14" spans="1:12" x14ac:dyDescent="0.25">
      <c r="A14" s="2">
        <v>44755</v>
      </c>
      <c r="B14" s="74">
        <v>1791.5</v>
      </c>
      <c r="C14" s="74">
        <v>5.66</v>
      </c>
      <c r="D14" s="74">
        <f t="shared" si="0"/>
        <v>316.51943462897526</v>
      </c>
      <c r="E14" s="75">
        <v>1040</v>
      </c>
      <c r="F14" s="75">
        <v>5857.68</v>
      </c>
      <c r="G14" s="75">
        <v>0</v>
      </c>
      <c r="H14" s="75">
        <v>0</v>
      </c>
      <c r="I14" s="75">
        <v>0</v>
      </c>
      <c r="J14" s="75">
        <v>0</v>
      </c>
      <c r="K14" s="11">
        <v>0</v>
      </c>
      <c r="L14" s="11">
        <v>0</v>
      </c>
    </row>
    <row r="15" spans="1:12" x14ac:dyDescent="0.25">
      <c r="A15" s="2">
        <v>44756</v>
      </c>
      <c r="B15" s="74">
        <v>1447.5</v>
      </c>
      <c r="C15" s="74">
        <v>5.68</v>
      </c>
      <c r="D15" s="74">
        <f t="shared" si="0"/>
        <v>254.84154929577466</v>
      </c>
      <c r="E15" s="75">
        <v>758</v>
      </c>
      <c r="F15" s="75">
        <v>4296.84</v>
      </c>
      <c r="G15" s="75">
        <v>0</v>
      </c>
      <c r="H15" s="75">
        <v>0</v>
      </c>
      <c r="I15" s="75">
        <v>0</v>
      </c>
      <c r="J15" s="75">
        <v>0</v>
      </c>
      <c r="K15" s="11">
        <v>0</v>
      </c>
      <c r="L15" s="11">
        <v>0</v>
      </c>
    </row>
    <row r="16" spans="1:12" x14ac:dyDescent="0.25">
      <c r="A16" s="2">
        <v>44757</v>
      </c>
      <c r="B16" s="74">
        <v>1601.5</v>
      </c>
      <c r="C16" s="74">
        <v>5.7</v>
      </c>
      <c r="D16" s="74">
        <f t="shared" si="0"/>
        <v>280.96491228070175</v>
      </c>
      <c r="E16" s="75">
        <v>1042</v>
      </c>
      <c r="F16" s="75">
        <v>5928.68</v>
      </c>
      <c r="G16" s="75">
        <v>0</v>
      </c>
      <c r="H16" s="75">
        <v>0</v>
      </c>
      <c r="I16" s="75">
        <v>0</v>
      </c>
      <c r="J16" s="75">
        <v>0</v>
      </c>
      <c r="K16" s="11">
        <v>0</v>
      </c>
      <c r="L16" s="11">
        <v>0</v>
      </c>
    </row>
    <row r="17" spans="1:12" x14ac:dyDescent="0.25">
      <c r="A17" s="2">
        <v>44758</v>
      </c>
      <c r="B17" s="74">
        <v>1910.5</v>
      </c>
      <c r="C17" s="74">
        <v>5.7</v>
      </c>
      <c r="D17" s="74">
        <f t="shared" si="0"/>
        <v>335.17543859649123</v>
      </c>
      <c r="E17" s="75">
        <v>1765</v>
      </c>
      <c r="F17" s="75">
        <v>10060.5</v>
      </c>
      <c r="G17" s="75">
        <v>50</v>
      </c>
      <c r="H17" s="75">
        <v>287.5</v>
      </c>
      <c r="I17" s="75">
        <v>49.99</v>
      </c>
      <c r="J17" s="75">
        <v>284.94300000000004</v>
      </c>
      <c r="K17" s="11">
        <v>0</v>
      </c>
      <c r="L17" s="11">
        <v>0</v>
      </c>
    </row>
    <row r="18" spans="1:12" x14ac:dyDescent="0.25">
      <c r="A18" s="2">
        <v>44759</v>
      </c>
      <c r="B18" s="74">
        <v>2571.6999999999998</v>
      </c>
      <c r="C18" s="74">
        <v>5.7</v>
      </c>
      <c r="D18" s="74">
        <f t="shared" si="0"/>
        <v>451.17543859649118</v>
      </c>
      <c r="E18" s="75">
        <v>1863</v>
      </c>
      <c r="F18" s="75">
        <v>10619.1</v>
      </c>
      <c r="G18" s="75">
        <v>0</v>
      </c>
      <c r="H18" s="75">
        <v>0</v>
      </c>
      <c r="I18" s="75">
        <v>0</v>
      </c>
      <c r="J18" s="75">
        <v>0</v>
      </c>
      <c r="K18" s="11">
        <v>51.15</v>
      </c>
      <c r="L18" s="11">
        <v>291.55500000000001</v>
      </c>
    </row>
    <row r="19" spans="1:12" x14ac:dyDescent="0.25">
      <c r="A19" s="2">
        <v>44760</v>
      </c>
      <c r="B19" s="74">
        <v>1088.5</v>
      </c>
      <c r="C19" s="74">
        <v>5.7</v>
      </c>
      <c r="D19" s="74">
        <f t="shared" si="0"/>
        <v>190.96491228070175</v>
      </c>
      <c r="E19" s="75">
        <v>1035</v>
      </c>
      <c r="F19" s="75">
        <v>5899.5</v>
      </c>
      <c r="G19" s="75">
        <v>0</v>
      </c>
      <c r="H19" s="75">
        <v>0</v>
      </c>
      <c r="I19" s="75">
        <v>0</v>
      </c>
      <c r="J19" s="75">
        <v>0</v>
      </c>
      <c r="K19" s="11">
        <v>0</v>
      </c>
      <c r="L19" s="11">
        <v>0</v>
      </c>
    </row>
    <row r="20" spans="1:12" x14ac:dyDescent="0.25">
      <c r="A20" s="2">
        <v>44761</v>
      </c>
      <c r="B20" s="74">
        <v>1356</v>
      </c>
      <c r="C20" s="74">
        <v>5.7</v>
      </c>
      <c r="D20" s="74">
        <f t="shared" si="0"/>
        <v>237.89473684210526</v>
      </c>
      <c r="E20" s="75">
        <v>781</v>
      </c>
      <c r="F20" s="75">
        <v>4451.7</v>
      </c>
      <c r="G20" s="75">
        <v>0</v>
      </c>
      <c r="H20" s="75">
        <v>0</v>
      </c>
      <c r="I20" s="75">
        <v>0</v>
      </c>
      <c r="J20" s="75">
        <v>0</v>
      </c>
      <c r="K20" s="11">
        <v>0</v>
      </c>
      <c r="L20" s="11">
        <v>0</v>
      </c>
    </row>
    <row r="21" spans="1:12" x14ac:dyDescent="0.25">
      <c r="A21" s="2">
        <v>44762</v>
      </c>
      <c r="B21" s="74">
        <v>1455.2</v>
      </c>
      <c r="C21" s="74">
        <v>5.7</v>
      </c>
      <c r="D21" s="74">
        <f t="shared" si="0"/>
        <v>255.2982456140351</v>
      </c>
      <c r="E21" s="75">
        <v>924</v>
      </c>
      <c r="F21" s="75">
        <v>5275.17</v>
      </c>
      <c r="G21" s="75">
        <v>0</v>
      </c>
      <c r="H21" s="75">
        <v>0</v>
      </c>
      <c r="I21" s="75">
        <v>0</v>
      </c>
      <c r="J21" s="75">
        <v>0</v>
      </c>
      <c r="K21" s="11">
        <v>0</v>
      </c>
      <c r="L21" s="11">
        <v>0</v>
      </c>
    </row>
    <row r="22" spans="1:12" x14ac:dyDescent="0.25">
      <c r="A22" s="2">
        <v>44763</v>
      </c>
      <c r="B22" s="74">
        <v>1315.5</v>
      </c>
      <c r="C22" s="74">
        <v>5.73</v>
      </c>
      <c r="D22" s="74">
        <f t="shared" si="0"/>
        <v>229.58115183246071</v>
      </c>
      <c r="E22" s="75">
        <v>630</v>
      </c>
      <c r="F22" s="75">
        <v>3609.9</v>
      </c>
      <c r="G22" s="75">
        <v>0</v>
      </c>
      <c r="H22" s="75">
        <v>0</v>
      </c>
      <c r="I22" s="75">
        <v>0</v>
      </c>
      <c r="J22" s="75">
        <v>0</v>
      </c>
      <c r="K22" s="11">
        <v>0</v>
      </c>
      <c r="L22" s="11">
        <v>0</v>
      </c>
    </row>
    <row r="23" spans="1:12" x14ac:dyDescent="0.25">
      <c r="A23" s="2">
        <v>44764</v>
      </c>
      <c r="B23" s="74">
        <v>1195</v>
      </c>
      <c r="C23" s="74">
        <v>5.73</v>
      </c>
      <c r="D23" s="74">
        <f t="shared" si="0"/>
        <v>208.55148342059334</v>
      </c>
      <c r="E23" s="75">
        <v>1256</v>
      </c>
      <c r="F23" s="75">
        <v>7196.88</v>
      </c>
      <c r="G23" s="75">
        <v>5</v>
      </c>
      <c r="H23" s="75">
        <v>29.2</v>
      </c>
      <c r="I23" s="75">
        <v>0</v>
      </c>
      <c r="J23" s="75">
        <v>0</v>
      </c>
      <c r="K23" s="11">
        <v>0</v>
      </c>
      <c r="L23" s="11">
        <v>0</v>
      </c>
    </row>
    <row r="24" spans="1:12" x14ac:dyDescent="0.25">
      <c r="A24" s="2">
        <v>44765</v>
      </c>
      <c r="B24" s="74">
        <v>1742</v>
      </c>
      <c r="C24" s="74">
        <v>5.73</v>
      </c>
      <c r="D24" s="74">
        <f t="shared" si="0"/>
        <v>304.0139616055846</v>
      </c>
      <c r="E24" s="75">
        <v>1365</v>
      </c>
      <c r="F24" s="75">
        <v>7821.4500000000007</v>
      </c>
      <c r="G24" s="75">
        <v>0</v>
      </c>
      <c r="H24" s="75">
        <v>0</v>
      </c>
      <c r="I24" s="75">
        <v>50</v>
      </c>
      <c r="J24" s="75">
        <v>286.5</v>
      </c>
      <c r="K24" s="11">
        <v>0</v>
      </c>
      <c r="L24" s="11">
        <v>0</v>
      </c>
    </row>
    <row r="25" spans="1:12" x14ac:dyDescent="0.25">
      <c r="A25" s="2">
        <v>44766</v>
      </c>
      <c r="B25" s="74">
        <v>1807.5</v>
      </c>
      <c r="C25" s="74">
        <v>5.73</v>
      </c>
      <c r="D25" s="74">
        <f>B25/C25</f>
        <v>315.44502617801044</v>
      </c>
      <c r="E25" s="75">
        <v>1768</v>
      </c>
      <c r="F25" s="75">
        <v>10130.640000000001</v>
      </c>
      <c r="G25" s="75">
        <v>20</v>
      </c>
      <c r="H25" s="75">
        <v>117</v>
      </c>
      <c r="I25" s="75">
        <v>0</v>
      </c>
      <c r="J25" s="75">
        <v>0</v>
      </c>
      <c r="K25" s="11">
        <v>0</v>
      </c>
      <c r="L25" s="11">
        <v>0</v>
      </c>
    </row>
    <row r="26" spans="1:12" x14ac:dyDescent="0.25">
      <c r="A26" s="2">
        <v>44767</v>
      </c>
      <c r="B26" s="74">
        <v>1514</v>
      </c>
      <c r="C26" s="74">
        <v>5.73</v>
      </c>
      <c r="D26" s="74">
        <f t="shared" ref="D26:D32" si="1">B26/C26</f>
        <v>264.22338568935425</v>
      </c>
      <c r="E26" s="75">
        <v>706</v>
      </c>
      <c r="F26" s="75">
        <v>4045.38</v>
      </c>
      <c r="G26" s="75">
        <v>0</v>
      </c>
      <c r="H26" s="75">
        <v>0</v>
      </c>
      <c r="I26" s="75">
        <v>0</v>
      </c>
      <c r="J26" s="75">
        <v>0</v>
      </c>
      <c r="K26" s="11">
        <v>0</v>
      </c>
      <c r="L26" s="11">
        <v>0</v>
      </c>
    </row>
    <row r="27" spans="1:12" x14ac:dyDescent="0.25">
      <c r="A27" s="2">
        <v>44768</v>
      </c>
      <c r="B27" s="74">
        <v>1651</v>
      </c>
      <c r="C27" s="74">
        <v>5.73</v>
      </c>
      <c r="D27" s="74">
        <f t="shared" si="1"/>
        <v>288.1326352530541</v>
      </c>
      <c r="E27" s="75">
        <v>986</v>
      </c>
      <c r="F27" s="75">
        <v>5652.7900000000009</v>
      </c>
      <c r="G27" s="75">
        <v>0</v>
      </c>
      <c r="H27" s="75">
        <v>0</v>
      </c>
      <c r="I27" s="75">
        <v>0</v>
      </c>
      <c r="J27" s="75">
        <v>0</v>
      </c>
      <c r="K27" s="11">
        <v>37.54</v>
      </c>
      <c r="L27" s="11">
        <v>215.10420000000002</v>
      </c>
    </row>
    <row r="28" spans="1:12" x14ac:dyDescent="0.25">
      <c r="A28" s="2">
        <v>44769</v>
      </c>
      <c r="B28" s="74">
        <v>1671</v>
      </c>
      <c r="C28" s="74">
        <v>5.75</v>
      </c>
      <c r="D28" s="74">
        <f t="shared" si="1"/>
        <v>290.60869565217394</v>
      </c>
      <c r="E28" s="75">
        <v>742</v>
      </c>
      <c r="F28" s="75">
        <v>4266.5</v>
      </c>
      <c r="G28" s="75">
        <v>0</v>
      </c>
      <c r="H28" s="75">
        <v>0</v>
      </c>
      <c r="I28" s="75">
        <v>0</v>
      </c>
      <c r="J28" s="75">
        <v>0</v>
      </c>
      <c r="K28" s="11">
        <v>0</v>
      </c>
      <c r="L28" s="11">
        <v>0</v>
      </c>
    </row>
    <row r="29" spans="1:12" x14ac:dyDescent="0.25">
      <c r="A29" s="2">
        <v>44770</v>
      </c>
      <c r="B29" s="74">
        <v>1352</v>
      </c>
      <c r="C29" s="74">
        <v>5.77</v>
      </c>
      <c r="D29" s="74">
        <f t="shared" si="1"/>
        <v>234.31542461005202</v>
      </c>
      <c r="E29" s="75">
        <v>1022</v>
      </c>
      <c r="F29" s="75">
        <v>5901.53</v>
      </c>
      <c r="G29" s="75">
        <v>0</v>
      </c>
      <c r="H29" s="75">
        <v>0</v>
      </c>
      <c r="I29" s="75">
        <v>0</v>
      </c>
      <c r="J29" s="75">
        <v>0</v>
      </c>
      <c r="K29" s="11">
        <v>11.05</v>
      </c>
      <c r="L29" s="11">
        <v>63.758499999999998</v>
      </c>
    </row>
    <row r="30" spans="1:12" x14ac:dyDescent="0.25">
      <c r="A30" s="2">
        <v>44771</v>
      </c>
      <c r="B30" s="74">
        <v>1617.5</v>
      </c>
      <c r="C30" s="74">
        <v>5.78</v>
      </c>
      <c r="D30" s="74">
        <f t="shared" si="1"/>
        <v>279.84429065743944</v>
      </c>
      <c r="E30" s="75">
        <v>1065</v>
      </c>
      <c r="F30" s="75">
        <v>6160.8</v>
      </c>
      <c r="G30" s="75">
        <v>0</v>
      </c>
      <c r="H30" s="75">
        <v>0</v>
      </c>
      <c r="I30" s="75">
        <v>0</v>
      </c>
      <c r="J30" s="75">
        <v>0</v>
      </c>
      <c r="K30" s="11">
        <v>0</v>
      </c>
      <c r="L30" s="11">
        <v>0</v>
      </c>
    </row>
    <row r="31" spans="1:12" x14ac:dyDescent="0.25">
      <c r="A31" s="2">
        <v>44772</v>
      </c>
      <c r="B31" s="74">
        <v>2376</v>
      </c>
      <c r="C31" s="74">
        <v>5.79</v>
      </c>
      <c r="D31" s="74">
        <f t="shared" si="1"/>
        <v>410.36269430051811</v>
      </c>
      <c r="E31" s="74">
        <v>1930</v>
      </c>
      <c r="F31" s="74">
        <v>11174.7</v>
      </c>
      <c r="G31" s="74">
        <v>10</v>
      </c>
      <c r="H31" s="74">
        <v>59</v>
      </c>
      <c r="I31" s="74">
        <v>0</v>
      </c>
      <c r="J31" s="74">
        <v>0</v>
      </c>
      <c r="K31" s="44">
        <v>45.11</v>
      </c>
      <c r="L31" s="44">
        <v>261.18689999999998</v>
      </c>
    </row>
    <row r="32" spans="1:12" x14ac:dyDescent="0.25">
      <c r="A32" s="2">
        <v>44773</v>
      </c>
      <c r="B32" s="75">
        <v>2397.5</v>
      </c>
      <c r="C32" s="75">
        <v>5.79</v>
      </c>
      <c r="D32" s="74">
        <f t="shared" si="1"/>
        <v>414.07599309153716</v>
      </c>
      <c r="E32" s="74">
        <v>1378</v>
      </c>
      <c r="F32" s="74">
        <v>7978.62</v>
      </c>
      <c r="G32" s="74">
        <v>0</v>
      </c>
      <c r="H32" s="74">
        <v>0</v>
      </c>
      <c r="I32" s="74">
        <v>48.89</v>
      </c>
      <c r="J32" s="74">
        <v>283.07310000000001</v>
      </c>
      <c r="K32" s="12">
        <v>0</v>
      </c>
      <c r="L32" s="44">
        <v>0</v>
      </c>
    </row>
    <row r="33" spans="4:11" x14ac:dyDescent="0.25">
      <c r="D33" s="76">
        <f>SUM(D2:D32)</f>
        <v>9163.4309438354412</v>
      </c>
      <c r="E33" s="47">
        <f>SUM(E2:E32)</f>
        <v>36183</v>
      </c>
      <c r="G33" s="47">
        <f>SUM(G2:G32)</f>
        <v>85</v>
      </c>
      <c r="I33" s="47">
        <f>SUM(I2:I32)</f>
        <v>148.88</v>
      </c>
      <c r="K33" s="47">
        <f>SUM(K2:K32)</f>
        <v>290.98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OCTUBRE</vt:lpstr>
      <vt:lpstr>JULIO LAGUNETIXCA</vt:lpstr>
      <vt:lpstr>EFECTIVO LAGUNETICA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2022-08-02T18:55:41Z</cp:lastPrinted>
  <dcterms:created xsi:type="dcterms:W3CDTF">2022-03-31T11:18:23Z</dcterms:created>
  <dcterms:modified xsi:type="dcterms:W3CDTF">2022-08-03T19:31:06Z</dcterms:modified>
</cp:coreProperties>
</file>