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15360" windowHeight="7680"/>
  </bookViews>
  <sheets>
    <sheet name="año1" sheetId="2" r:id="rId1"/>
    <sheet name="año 2" sheetId="5" r:id="rId2"/>
    <sheet name="Hoja4" sheetId="4" r:id="rId3"/>
  </sheets>
  <calcPr calcId="145621"/>
</workbook>
</file>

<file path=xl/calcChain.xml><?xml version="1.0" encoding="utf-8"?>
<calcChain xmlns="http://schemas.openxmlformats.org/spreadsheetml/2006/main">
  <c r="D52" i="4" l="1"/>
  <c r="F52" i="4"/>
  <c r="C52" i="4"/>
  <c r="E52" i="4"/>
  <c r="B52" i="4"/>
  <c r="C25" i="5" l="1"/>
  <c r="B20" i="5"/>
  <c r="B19" i="5"/>
  <c r="B18" i="5"/>
  <c r="B17" i="5"/>
  <c r="B16" i="5"/>
  <c r="B15" i="4"/>
  <c r="B32" i="4"/>
  <c r="G14" i="4" l="1"/>
  <c r="B12" i="2" l="1"/>
  <c r="C12" i="5"/>
  <c r="A20" i="2"/>
  <c r="A19" i="2"/>
  <c r="A18" i="2"/>
  <c r="A17" i="2"/>
  <c r="A16" i="2"/>
  <c r="F54" i="4"/>
  <c r="E54" i="4"/>
  <c r="D54" i="4"/>
  <c r="C54" i="4"/>
  <c r="B56" i="4"/>
  <c r="B18" i="2" l="1"/>
  <c r="C18" i="2" s="1"/>
  <c r="D18" i="2" s="1"/>
  <c r="E18" i="2" s="1"/>
  <c r="F18" i="2" s="1"/>
  <c r="G18" i="2" s="1"/>
  <c r="H18" i="2" s="1"/>
  <c r="I18" i="2" s="1"/>
  <c r="J18" i="2" s="1"/>
  <c r="K18" i="2" s="1"/>
  <c r="L18" i="2" s="1"/>
  <c r="M18" i="2" s="1"/>
  <c r="C18" i="5"/>
  <c r="D18" i="5" s="1"/>
  <c r="E18" i="5" s="1"/>
  <c r="F18" i="5" s="1"/>
  <c r="G18" i="5" s="1"/>
  <c r="H18" i="5" s="1"/>
  <c r="B20" i="2"/>
  <c r="C20" i="2" s="1"/>
  <c r="D20" i="2" s="1"/>
  <c r="E20" i="2" s="1"/>
  <c r="F20" i="2" s="1"/>
  <c r="G20" i="2" s="1"/>
  <c r="H20" i="2" s="1"/>
  <c r="I20" i="2" s="1"/>
  <c r="J20" i="2" s="1"/>
  <c r="K20" i="2" s="1"/>
  <c r="L20" i="2" s="1"/>
  <c r="M20" i="2" s="1"/>
  <c r="C20" i="5"/>
  <c r="D20" i="5" s="1"/>
  <c r="E20" i="5" s="1"/>
  <c r="F20" i="5" s="1"/>
  <c r="G20" i="5" s="1"/>
  <c r="H20" i="5" s="1"/>
  <c r="B17" i="2"/>
  <c r="C17" i="2" s="1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C17" i="5"/>
  <c r="D17" i="5" s="1"/>
  <c r="E17" i="5" s="1"/>
  <c r="F17" i="5" s="1"/>
  <c r="G17" i="5" s="1"/>
  <c r="H17" i="5" s="1"/>
  <c r="B19" i="2"/>
  <c r="C19" i="2" s="1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C19" i="5"/>
  <c r="D19" i="5" s="1"/>
  <c r="E19" i="5" s="1"/>
  <c r="F19" i="5" s="1"/>
  <c r="G19" i="5" s="1"/>
  <c r="H19" i="5" s="1"/>
  <c r="B54" i="4"/>
  <c r="C21" i="4"/>
  <c r="C20" i="4"/>
  <c r="D20" i="4" s="1"/>
  <c r="C6" i="4"/>
  <c r="D6" i="4" s="1"/>
  <c r="C5" i="4"/>
  <c r="D5" i="4" s="1"/>
  <c r="C14" i="4"/>
  <c r="C13" i="4"/>
  <c r="C12" i="4"/>
  <c r="C11" i="4"/>
  <c r="C10" i="4"/>
  <c r="C9" i="4"/>
  <c r="C8" i="4"/>
  <c r="C7" i="4"/>
  <c r="C4" i="4"/>
  <c r="D4" i="4" s="1"/>
  <c r="C3" i="4"/>
  <c r="D3" i="4" s="1"/>
  <c r="B16" i="2" l="1"/>
  <c r="C16" i="2" s="1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C16" i="5"/>
  <c r="C56" i="4"/>
  <c r="D16" i="5" l="1"/>
  <c r="C21" i="5"/>
  <c r="C24" i="4"/>
  <c r="C23" i="4"/>
  <c r="C22" i="4"/>
  <c r="D21" i="4"/>
  <c r="E16" i="5" l="1"/>
  <c r="D21" i="5"/>
  <c r="B57" i="4"/>
  <c r="B58" i="4" s="1"/>
  <c r="F16" i="5" l="1"/>
  <c r="E21" i="5"/>
  <c r="C35" i="4"/>
  <c r="B35" i="4"/>
  <c r="D35" i="4"/>
  <c r="C57" i="4"/>
  <c r="B62" i="4"/>
  <c r="F56" i="4"/>
  <c r="E56" i="4"/>
  <c r="D56" i="4"/>
  <c r="C30" i="4"/>
  <c r="D30" i="4" s="1"/>
  <c r="C29" i="4"/>
  <c r="D29" i="4" s="1"/>
  <c r="C26" i="4"/>
  <c r="D26" i="4" s="1"/>
  <c r="C25" i="4"/>
  <c r="D25" i="4" s="1"/>
  <c r="D24" i="4"/>
  <c r="D23" i="4"/>
  <c r="D22" i="4"/>
  <c r="C31" i="4"/>
  <c r="D31" i="4" s="1"/>
  <c r="C27" i="4"/>
  <c r="D27" i="4" s="1"/>
  <c r="D14" i="4"/>
  <c r="D12" i="4"/>
  <c r="D11" i="4"/>
  <c r="D10" i="4"/>
  <c r="D9" i="4"/>
  <c r="D8" i="4"/>
  <c r="D7" i="4"/>
  <c r="G16" i="5" l="1"/>
  <c r="H16" i="5" s="1"/>
  <c r="F21" i="5"/>
  <c r="C28" i="4"/>
  <c r="D28" i="4" s="1"/>
  <c r="F57" i="4"/>
  <c r="F58" i="4" s="1"/>
  <c r="C58" i="4"/>
  <c r="D57" i="4"/>
  <c r="D58" i="4" s="1"/>
  <c r="E57" i="4"/>
  <c r="E58" i="4" s="1"/>
  <c r="D13" i="4"/>
  <c r="D15" i="4" s="1"/>
  <c r="H21" i="5" l="1"/>
  <c r="G21" i="5"/>
  <c r="D32" i="4"/>
  <c r="D33" i="4" s="1"/>
  <c r="F15" i="4"/>
  <c r="F16" i="4" s="1"/>
  <c r="B7" i="2" s="1"/>
  <c r="B8" i="2" s="1"/>
  <c r="B11" i="2" l="1"/>
  <c r="B13" i="2" s="1"/>
  <c r="C7" i="2"/>
  <c r="C11" i="2" s="1"/>
  <c r="C12" i="2"/>
  <c r="C21" i="2"/>
  <c r="B21" i="2"/>
  <c r="D12" i="2" l="1"/>
  <c r="D7" i="2"/>
  <c r="D11" i="2" s="1"/>
  <c r="D13" i="2" s="1"/>
  <c r="C13" i="2"/>
  <c r="C8" i="2"/>
  <c r="C23" i="2"/>
  <c r="B23" i="2"/>
  <c r="B27" i="2" s="1"/>
  <c r="C25" i="2" s="1"/>
  <c r="E7" i="2" l="1"/>
  <c r="F12" i="2" s="1"/>
  <c r="E12" i="2"/>
  <c r="D8" i="2"/>
  <c r="D21" i="2"/>
  <c r="D23" i="2" s="1"/>
  <c r="F7" i="2"/>
  <c r="C27" i="2"/>
  <c r="D25" i="2" s="1"/>
  <c r="E8" i="2" l="1"/>
  <c r="E11" i="2"/>
  <c r="E13" i="2" s="1"/>
  <c r="D27" i="2"/>
  <c r="E25" i="2" s="1"/>
  <c r="G12" i="2"/>
  <c r="F11" i="2"/>
  <c r="F13" i="2" s="1"/>
  <c r="E21" i="2"/>
  <c r="E23" i="2" s="1"/>
  <c r="F8" i="2"/>
  <c r="G7" i="2"/>
  <c r="E27" i="2" l="1"/>
  <c r="F25" i="2" s="1"/>
  <c r="H12" i="2"/>
  <c r="G11" i="2"/>
  <c r="G13" i="2" s="1"/>
  <c r="F21" i="2"/>
  <c r="F23" i="2" s="1"/>
  <c r="H7" i="2"/>
  <c r="G8" i="2"/>
  <c r="F27" i="2" l="1"/>
  <c r="G25" i="2" s="1"/>
  <c r="H11" i="2"/>
  <c r="H13" i="2" s="1"/>
  <c r="I12" i="2"/>
  <c r="G21" i="2"/>
  <c r="G23" i="2" s="1"/>
  <c r="H8" i="2"/>
  <c r="I7" i="2"/>
  <c r="G27" i="2" l="1"/>
  <c r="H25" i="2" s="1"/>
  <c r="J12" i="2"/>
  <c r="I11" i="2"/>
  <c r="H21" i="2"/>
  <c r="H23" i="2" s="1"/>
  <c r="I8" i="2"/>
  <c r="J7" i="2"/>
  <c r="I13" i="2"/>
  <c r="H27" i="2" l="1"/>
  <c r="I25" i="2" s="1"/>
  <c r="K12" i="2"/>
  <c r="J11" i="2"/>
  <c r="I21" i="2"/>
  <c r="I23" i="2" s="1"/>
  <c r="J8" i="2"/>
  <c r="K7" i="2"/>
  <c r="J13" i="2"/>
  <c r="I27" i="2" l="1"/>
  <c r="J25" i="2" s="1"/>
  <c r="L12" i="2"/>
  <c r="K11" i="2"/>
  <c r="K13" i="2" s="1"/>
  <c r="K8" i="2"/>
  <c r="L7" i="2"/>
  <c r="M7" i="2" s="1"/>
  <c r="C7" i="5" s="1"/>
  <c r="J21" i="2"/>
  <c r="J23" i="2" s="1"/>
  <c r="D12" i="5" l="1"/>
  <c r="C11" i="5"/>
  <c r="C13" i="5" s="1"/>
  <c r="C23" i="5" s="1"/>
  <c r="C27" i="5" s="1"/>
  <c r="D25" i="5" s="1"/>
  <c r="C8" i="5"/>
  <c r="D7" i="5"/>
  <c r="J27" i="2"/>
  <c r="K25" i="2" s="1"/>
  <c r="M12" i="2"/>
  <c r="L11" i="2"/>
  <c r="K21" i="2"/>
  <c r="K23" i="2" s="1"/>
  <c r="L13" i="2"/>
  <c r="L8" i="2"/>
  <c r="L21" i="2"/>
  <c r="K27" i="2" l="1"/>
  <c r="L25" i="2" s="1"/>
  <c r="E12" i="5"/>
  <c r="D8" i="5"/>
  <c r="D11" i="5"/>
  <c r="D13" i="5" s="1"/>
  <c r="D23" i="5" s="1"/>
  <c r="D27" i="5" s="1"/>
  <c r="E25" i="5" s="1"/>
  <c r="E7" i="5"/>
  <c r="M11" i="2"/>
  <c r="M8" i="2"/>
  <c r="L23" i="2"/>
  <c r="F12" i="5" l="1"/>
  <c r="E8" i="5"/>
  <c r="E11" i="5"/>
  <c r="E13" i="5" s="1"/>
  <c r="E23" i="5" s="1"/>
  <c r="E27" i="5" s="1"/>
  <c r="F25" i="5" s="1"/>
  <c r="F7" i="5"/>
  <c r="L27" i="2"/>
  <c r="M25" i="2" s="1"/>
  <c r="M13" i="2"/>
  <c r="M21" i="2"/>
  <c r="G12" i="5" l="1"/>
  <c r="F8" i="5"/>
  <c r="F11" i="5"/>
  <c r="F13" i="5" s="1"/>
  <c r="F23" i="5" s="1"/>
  <c r="F27" i="5" s="1"/>
  <c r="G25" i="5" s="1"/>
  <c r="G7" i="5"/>
  <c r="M23" i="2"/>
  <c r="M27" i="2" s="1"/>
  <c r="H7" i="5" l="1"/>
  <c r="H12" i="5"/>
  <c r="G8" i="5"/>
  <c r="G11" i="5"/>
  <c r="G13" i="5" s="1"/>
  <c r="G23" i="5" s="1"/>
  <c r="G27" i="5" s="1"/>
  <c r="H25" i="5" s="1"/>
  <c r="H8" i="5" l="1"/>
  <c r="H11" i="5"/>
  <c r="H13" i="5" s="1"/>
  <c r="H23" i="5" s="1"/>
  <c r="H27" i="5" s="1"/>
</calcChain>
</file>

<file path=xl/comments1.xml><?xml version="1.0" encoding="utf-8"?>
<comments xmlns="http://schemas.openxmlformats.org/spreadsheetml/2006/main">
  <authors>
    <author>Cont_AUX_2</author>
  </authors>
  <commentList>
    <comment ref="A1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Cont_AUX_2</author>
  </authors>
  <commentList>
    <comment ref="B1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Contaduria</author>
  </authors>
  <commentList>
    <comment ref="E14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colocar lo que tengo por cobrar a fin de mes</t>
        </r>
      </text>
    </comment>
  </commentList>
</comments>
</file>

<file path=xl/sharedStrings.xml><?xml version="1.0" encoding="utf-8"?>
<sst xmlns="http://schemas.openxmlformats.org/spreadsheetml/2006/main" count="74" uniqueCount="38">
  <si>
    <t>PRESUPUESTO DE FLUJO DE CAJA</t>
  </si>
  <si>
    <t>(Expresado a Valores Historicos)</t>
  </si>
  <si>
    <t>Ventas y servicios estimados</t>
  </si>
  <si>
    <t>Compras requeridas</t>
  </si>
  <si>
    <t>INGRESOS DE EFECTIVO</t>
  </si>
  <si>
    <t>Total Ingreso de Efectivo</t>
  </si>
  <si>
    <t>EGRESOS DE EFECTIVO</t>
  </si>
  <si>
    <t>Total Egresos de Efectivo</t>
  </si>
  <si>
    <t>Total Ingresos menos Egresos de efectivo</t>
  </si>
  <si>
    <t>Saldo de efectivo al final del mes</t>
  </si>
  <si>
    <t>Saldo del Efectivo al Principio del mes</t>
  </si>
  <si>
    <t>ventas</t>
  </si>
  <si>
    <t>variación</t>
  </si>
  <si>
    <t>% de variación</t>
  </si>
  <si>
    <t>compras</t>
  </si>
  <si>
    <t>Cobro de ventas en el mes</t>
  </si>
  <si>
    <t>Cobro de ventas a crédito del mes anterior</t>
  </si>
  <si>
    <t>(1)</t>
  </si>
  <si>
    <t>(2)</t>
  </si>
  <si>
    <t>(3)</t>
  </si>
  <si>
    <t>Gastos de personal</t>
  </si>
  <si>
    <t>Bienes y servicios</t>
  </si>
  <si>
    <t>Depreciación y amortización</t>
  </si>
  <si>
    <t>Tributos</t>
  </si>
  <si>
    <t>Otros gastos</t>
  </si>
  <si>
    <t>promedio mensual inflación 2016-2017</t>
  </si>
  <si>
    <t>Se estimó como un 89,92% de las ventas en cada mes, siendo este porcentaje, el resultante del análisis de los últimos 12 meses</t>
  </si>
  <si>
    <t xml:space="preserve">Se estimó aplicando a la venta de cada mes, un incremento, equivalente a la variación promedio de los últimos 12 meses </t>
  </si>
  <si>
    <t xml:space="preserve">Se tomo como base estimación de Índices Según BA VEN NIF 2 v3 FCCPV </t>
  </si>
  <si>
    <t>(4)</t>
  </si>
  <si>
    <t>cxc</t>
  </si>
  <si>
    <t>porcentaje de las ventas que queda por cobrar</t>
  </si>
  <si>
    <t>Se estimó como un 7,63% de las ventas en cada mes, siendo este porcentaje, el resultante del análisis de los últimos 12 meses</t>
  </si>
  <si>
    <t>Por los meses de febrero de 2018 a enero de 2019</t>
  </si>
  <si>
    <t>Por los meses de febrero de 2019 a julio de 2019</t>
  </si>
  <si>
    <t>Hiper Modelo, C.A.</t>
  </si>
  <si>
    <t>Se estimó como un 31,11% de las ventas en cada mes, siendo este porcentaje, el resultante del análisis de los últimos 12 meses</t>
  </si>
  <si>
    <t>Se estimó como un 9,97% de las cuentas por cobrar, siendo este porcentaje, el resultante del análisis de los últimos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</si>
</sst>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* #,##0.00\ _€_-;\-* #,##0.00\ _€_-;_-* &quot;-&quot;??\ _€_-;_-@_-"/>
    <numFmt numFmtId="165" formatCode="0.00000"/>
    <numFmt numFmtId="166" formatCode="_ * #,##0.00000_ ;_ * \-#,##0.00000_ ;_ * &quot;-&quot;??_ ;_ @_ "/>
    <numFmt numFmtId="167" formatCode="_ * #,##0.00_ ;_ * \-#,##0.00_ ;_ * \-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7" fontId="6" fillId="0" borderId="0" applyFill="0" applyBorder="0" applyAlignment="0" applyProtection="0"/>
    <xf numFmtId="0" fontId="6" fillId="0" borderId="0"/>
    <xf numFmtId="9" fontId="6" fillId="0" borderId="0" applyFill="0" applyBorder="0" applyAlignment="0" applyProtection="0"/>
  </cellStyleXfs>
  <cellXfs count="39">
    <xf numFmtId="0" fontId="0" fillId="0" borderId="0" xfId="0"/>
    <xf numFmtId="0" fontId="2" fillId="0" borderId="0" xfId="2" applyNumberFormat="1"/>
    <xf numFmtId="0" fontId="2" fillId="0" borderId="0" xfId="2"/>
    <xf numFmtId="0" fontId="4" fillId="0" borderId="0" xfId="2" applyFont="1"/>
    <xf numFmtId="0" fontId="5" fillId="0" borderId="0" xfId="2" applyFont="1"/>
    <xf numFmtId="164" fontId="2" fillId="0" borderId="0" xfId="3" applyFont="1"/>
    <xf numFmtId="0" fontId="4" fillId="0" borderId="0" xfId="2" applyFont="1" applyAlignment="1">
      <alignment horizontal="right"/>
    </xf>
    <xf numFmtId="164" fontId="2" fillId="0" borderId="1" xfId="3" applyFont="1" applyBorder="1"/>
    <xf numFmtId="164" fontId="2" fillId="0" borderId="2" xfId="3" applyFont="1" applyBorder="1"/>
    <xf numFmtId="0" fontId="0" fillId="0" borderId="0" xfId="0" applyNumberFormat="1"/>
    <xf numFmtId="17" fontId="5" fillId="0" borderId="1" xfId="3" applyNumberFormat="1" applyFont="1" applyBorder="1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1" xfId="1" applyFont="1" applyBorder="1"/>
    <xf numFmtId="43" fontId="0" fillId="0" borderId="0" xfId="1" applyFont="1" applyFill="1" applyBorder="1"/>
    <xf numFmtId="165" fontId="0" fillId="0" borderId="0" xfId="0" applyNumberFormat="1"/>
    <xf numFmtId="49" fontId="0" fillId="0" borderId="0" xfId="0" applyNumberFormat="1" applyAlignment="1">
      <alignment horizontal="center"/>
    </xf>
    <xf numFmtId="164" fontId="2" fillId="0" borderId="1" xfId="3" applyFont="1" applyFill="1" applyBorder="1"/>
    <xf numFmtId="49" fontId="0" fillId="0" borderId="0" xfId="0" applyNumberFormat="1" applyAlignment="1">
      <alignment horizontal="right"/>
    </xf>
    <xf numFmtId="43" fontId="0" fillId="0" borderId="0" xfId="0" applyNumberFormat="1" applyFill="1"/>
    <xf numFmtId="43" fontId="0" fillId="0" borderId="0" xfId="0" applyNumberFormat="1" applyFill="1" applyBorder="1"/>
    <xf numFmtId="43" fontId="0" fillId="0" borderId="1" xfId="0" applyNumberFormat="1" applyFill="1" applyBorder="1"/>
    <xf numFmtId="17" fontId="0" fillId="0" borderId="0" xfId="0" applyNumberFormat="1"/>
    <xf numFmtId="43" fontId="0" fillId="0" borderId="1" xfId="1" applyFont="1" applyFill="1" applyBorder="1"/>
    <xf numFmtId="4" fontId="0" fillId="0" borderId="0" xfId="0" applyNumberFormat="1"/>
    <xf numFmtId="43" fontId="0" fillId="2" borderId="0" xfId="1" applyFont="1" applyFill="1"/>
    <xf numFmtId="43" fontId="0" fillId="2" borderId="0" xfId="1" applyFont="1" applyFill="1" applyBorder="1"/>
    <xf numFmtId="0" fontId="0" fillId="2" borderId="0" xfId="0" applyFill="1" applyAlignment="1">
      <alignment horizontal="center"/>
    </xf>
    <xf numFmtId="0" fontId="0" fillId="0" borderId="0" xfId="0" applyNumberFormat="1" applyFill="1"/>
    <xf numFmtId="43" fontId="0" fillId="3" borderId="0" xfId="1" applyFont="1" applyFill="1"/>
    <xf numFmtId="166" fontId="0" fillId="0" borderId="0" xfId="0" applyNumberFormat="1"/>
    <xf numFmtId="43" fontId="0" fillId="3" borderId="0" xfId="0" applyNumberFormat="1" applyFill="1"/>
    <xf numFmtId="0" fontId="7" fillId="0" borderId="3" xfId="4" applyFont="1" applyBorder="1" applyAlignment="1">
      <alignment vertical="center"/>
    </xf>
    <xf numFmtId="0" fontId="7" fillId="0" borderId="4" xfId="4" applyFont="1" applyBorder="1" applyAlignment="1">
      <alignment vertical="center"/>
    </xf>
    <xf numFmtId="0" fontId="7" fillId="0" borderId="0" xfId="4" applyFont="1" applyBorder="1" applyAlignment="1">
      <alignment vertical="center"/>
    </xf>
    <xf numFmtId="4" fontId="0" fillId="0" borderId="0" xfId="0" applyNumberFormat="1" applyAlignment="1">
      <alignment horizontal="right"/>
    </xf>
    <xf numFmtId="4" fontId="0" fillId="0" borderId="1" xfId="0" applyNumberFormat="1" applyBorder="1"/>
    <xf numFmtId="0" fontId="3" fillId="0" borderId="0" xfId="2" applyFont="1" applyAlignment="1">
      <alignment horizontal="center"/>
    </xf>
  </cellXfs>
  <cellStyles count="8">
    <cellStyle name="Millares" xfId="1" builtinId="3"/>
    <cellStyle name="Millares 2" xfId="3"/>
    <cellStyle name="Millares 3" xfId="5"/>
    <cellStyle name="Normal" xfId="0" builtinId="0"/>
    <cellStyle name="Normal 2" xfId="2"/>
    <cellStyle name="Normal 2 2" xfId="6"/>
    <cellStyle name="Normal 3" xfId="4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workbookViewId="0">
      <selection activeCell="B31" sqref="B31"/>
    </sheetView>
  </sheetViews>
  <sheetFormatPr baseColWidth="10" defaultRowHeight="15" x14ac:dyDescent="0.25"/>
  <cols>
    <col min="1" max="1" width="35.7109375" customWidth="1"/>
    <col min="2" max="13" width="24.140625" customWidth="1"/>
    <col min="14" max="14" width="4.7109375" style="17" customWidth="1"/>
  </cols>
  <sheetData>
    <row r="1" spans="1:14" ht="15.75" x14ac:dyDescent="0.25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7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5.75" x14ac:dyDescent="0.25">
      <c r="A3" s="38" t="s">
        <v>33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5.75" x14ac:dyDescent="0.25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6" spans="1:14" s="9" customFormat="1" x14ac:dyDescent="0.25">
      <c r="A6" s="1"/>
      <c r="B6" s="10">
        <v>43132</v>
      </c>
      <c r="C6" s="10">
        <v>43160</v>
      </c>
      <c r="D6" s="10">
        <v>43191</v>
      </c>
      <c r="E6" s="10">
        <v>43221</v>
      </c>
      <c r="F6" s="10">
        <v>43252</v>
      </c>
      <c r="G6" s="10">
        <v>43282</v>
      </c>
      <c r="H6" s="10">
        <v>43313</v>
      </c>
      <c r="I6" s="10">
        <v>43344</v>
      </c>
      <c r="J6" s="10">
        <v>43374</v>
      </c>
      <c r="K6" s="10">
        <v>43405</v>
      </c>
      <c r="L6" s="10">
        <v>43435</v>
      </c>
      <c r="M6" s="10">
        <v>43466</v>
      </c>
      <c r="N6" s="17"/>
    </row>
    <row r="7" spans="1:14" x14ac:dyDescent="0.25">
      <c r="A7" s="2" t="s">
        <v>2</v>
      </c>
      <c r="B7" s="5">
        <f>Hoja4!B14*Hoja4!F16+Hoja4!B14</f>
        <v>10283816216.83704</v>
      </c>
      <c r="C7" s="5">
        <f>B7*Hoja4!$F$16+B7</f>
        <v>13482703834.96763</v>
      </c>
      <c r="D7" s="5">
        <f>C7*Hoja4!$F$16+C7</f>
        <v>17676638600.739342</v>
      </c>
      <c r="E7" s="5">
        <f>D7*Hoja4!$F$16+D7</f>
        <v>23175140242.32798</v>
      </c>
      <c r="F7" s="5">
        <f>E7*Hoja4!$F$16+E7</f>
        <v>30384007807.293499</v>
      </c>
      <c r="G7" s="5">
        <f>F7*Hoja4!$F$16+F7</f>
        <v>39835268342.735886</v>
      </c>
      <c r="H7" s="5">
        <f>G7*Hoja4!$F$16+G7</f>
        <v>52226441422.808693</v>
      </c>
      <c r="I7" s="5">
        <f>H7*Hoja4!$F$16+H7</f>
        <v>68472017314.462402</v>
      </c>
      <c r="J7" s="5">
        <f>I7*Hoja4!$F$16+I7</f>
        <v>89770947960.174088</v>
      </c>
      <c r="K7" s="5">
        <f>J7*Hoja4!$F$16+J7</f>
        <v>117695131730.34744</v>
      </c>
      <c r="L7" s="5">
        <f>K7*Hoja4!$F$16+K7</f>
        <v>154305422275.02368</v>
      </c>
      <c r="M7" s="5">
        <f>L7*Hoja4!$F$16+L7</f>
        <v>202303723131.25992</v>
      </c>
      <c r="N7" s="17" t="s">
        <v>17</v>
      </c>
    </row>
    <row r="8" spans="1:14" x14ac:dyDescent="0.25">
      <c r="A8" s="3" t="s">
        <v>3</v>
      </c>
      <c r="B8" s="5">
        <f>B7*Hoja4!$C$35%</f>
        <v>9544561292.5712967</v>
      </c>
      <c r="C8" s="5">
        <f>C7*Hoja4!$C$35%</f>
        <v>12513496004.697594</v>
      </c>
      <c r="D8" s="5">
        <f>D7*Hoja4!$C$35%</f>
        <v>16405948629.766521</v>
      </c>
      <c r="E8" s="5">
        <f>E7*Hoja4!$C$35%</f>
        <v>21509188986.155155</v>
      </c>
      <c r="F8" s="5">
        <f>F7*Hoja4!$C$35%</f>
        <v>28199845146.578533</v>
      </c>
      <c r="G8" s="5">
        <f>G7*Hoja4!$C$35%</f>
        <v>36971699249.2314</v>
      </c>
      <c r="H8" s="5">
        <f>H7*Hoja4!$C$35%</f>
        <v>48472129484.067879</v>
      </c>
      <c r="I8" s="5">
        <f>I7*Hoja4!$C$35%</f>
        <v>63549887736.606712</v>
      </c>
      <c r="J8" s="5">
        <f>J7*Hoja4!$C$35%</f>
        <v>83317738963.02092</v>
      </c>
      <c r="K8" s="5">
        <f>K7*Hoja4!$C$35%</f>
        <v>109234585192.05807</v>
      </c>
      <c r="L8" s="5">
        <f>L7*Hoja4!$C$35%</f>
        <v>143213135048.91058</v>
      </c>
      <c r="M8" s="5">
        <f>M7*Hoja4!$C$35%</f>
        <v>187761065000.39774</v>
      </c>
      <c r="N8" s="17" t="s">
        <v>18</v>
      </c>
    </row>
    <row r="9" spans="1:14" x14ac:dyDescent="0.25">
      <c r="A9" s="2"/>
      <c r="B9" s="2"/>
      <c r="C9" s="5"/>
      <c r="D9" s="5"/>
    </row>
    <row r="10" spans="1:14" x14ac:dyDescent="0.25">
      <c r="A10" s="4" t="s">
        <v>4</v>
      </c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4" x14ac:dyDescent="0.25">
      <c r="A11" s="3" t="s">
        <v>15</v>
      </c>
      <c r="B11" s="5">
        <f>B7-B7*Hoja4!$G$14%</f>
        <v>9257750967.7984734</v>
      </c>
      <c r="C11" s="5">
        <f>C7-C7*Hoja4!$G$14%</f>
        <v>12137470355.834703</v>
      </c>
      <c r="D11" s="5">
        <f>D7-D7*Hoja4!$G$14%</f>
        <v>15912956305.606804</v>
      </c>
      <c r="E11" s="5">
        <f>E7-E7*Hoja4!$G$14%</f>
        <v>20862846290.077473</v>
      </c>
      <c r="F11" s="5">
        <f>F7-F7*Hoja4!$G$14%</f>
        <v>27352450856.038582</v>
      </c>
      <c r="G11" s="5">
        <f>G7-G7*Hoja4!$G$14%</f>
        <v>35860714182.02581</v>
      </c>
      <c r="H11" s="5">
        <f>H7-H7*Hoja4!$G$14%</f>
        <v>47015560997.198158</v>
      </c>
      <c r="I11" s="5">
        <f>I7-I7*Hoja4!$G$14%</f>
        <v>61640238525.678719</v>
      </c>
      <c r="J11" s="5">
        <f>J7-J7*Hoja4!$G$14%</f>
        <v>80814073572.981415</v>
      </c>
      <c r="K11" s="5">
        <f>K7-K7*Hoja4!$G$14%</f>
        <v>105952128733.87143</v>
      </c>
      <c r="L11" s="5">
        <f>L7-L7*Hoja4!$G$14%</f>
        <v>138909636489.25635</v>
      </c>
      <c r="M11" s="5">
        <f>M7-M7*Hoja4!$G$14%</f>
        <v>182118918611.29456</v>
      </c>
    </row>
    <row r="12" spans="1:14" x14ac:dyDescent="0.25">
      <c r="A12" s="3" t="s">
        <v>16</v>
      </c>
      <c r="B12" s="7">
        <f>Hoja4!B14*Hoja4!G14%</f>
        <v>782622430.69000006</v>
      </c>
      <c r="C12" s="7">
        <f>B7*Hoja4!$G$14%</f>
        <v>1026065249.0385669</v>
      </c>
      <c r="D12" s="7">
        <f>C7*Hoja4!$G$14%</f>
        <v>1345233479.1329267</v>
      </c>
      <c r="E12" s="7">
        <f>D7*Hoja4!$G$14%</f>
        <v>1763682295.1325374</v>
      </c>
      <c r="F12" s="7">
        <f>E7*Hoja4!$G$14%</f>
        <v>2312293952.2505069</v>
      </c>
      <c r="G12" s="7">
        <f>F7*Hoja4!$G$14%</f>
        <v>3031556951.2549167</v>
      </c>
      <c r="H12" s="7">
        <f>G7*Hoja4!$G$14%</f>
        <v>3974554160.7100787</v>
      </c>
      <c r="I12" s="7">
        <f>H7*Hoja4!$G$14%</f>
        <v>5210880425.6105366</v>
      </c>
      <c r="J12" s="7">
        <f>I7*Hoja4!$G$14%</f>
        <v>6831778788.7836809</v>
      </c>
      <c r="K12" s="7">
        <f>J7*Hoja4!$G$14%</f>
        <v>8956874387.1926651</v>
      </c>
      <c r="L12" s="7">
        <f>K7*Hoja4!$G$14%</f>
        <v>11743002996.476006</v>
      </c>
      <c r="M12" s="7">
        <f>L7*Hoja4!$G$14%</f>
        <v>15395785785.767345</v>
      </c>
      <c r="N12" s="17" t="s">
        <v>19</v>
      </c>
    </row>
    <row r="13" spans="1:14" x14ac:dyDescent="0.25">
      <c r="A13" s="6" t="s">
        <v>5</v>
      </c>
      <c r="B13" s="5">
        <f>B11+B12</f>
        <v>10040373398.488474</v>
      </c>
      <c r="C13" s="5">
        <f t="shared" ref="C13:M13" si="0">C11+C12</f>
        <v>13163535604.87327</v>
      </c>
      <c r="D13" s="5">
        <f t="shared" si="0"/>
        <v>17258189784.739731</v>
      </c>
      <c r="E13" s="5">
        <f t="shared" si="0"/>
        <v>22626528585.210011</v>
      </c>
      <c r="F13" s="5">
        <f t="shared" si="0"/>
        <v>29664744808.289089</v>
      </c>
      <c r="G13" s="5">
        <f t="shared" si="0"/>
        <v>38892271133.280724</v>
      </c>
      <c r="H13" s="5">
        <f t="shared" si="0"/>
        <v>50990115157.908234</v>
      </c>
      <c r="I13" s="5">
        <f t="shared" si="0"/>
        <v>66851118951.289253</v>
      </c>
      <c r="J13" s="5">
        <f t="shared" si="0"/>
        <v>87645852361.765091</v>
      </c>
      <c r="K13" s="5">
        <f t="shared" si="0"/>
        <v>114909003121.06409</v>
      </c>
      <c r="L13" s="5">
        <f t="shared" si="0"/>
        <v>150652639485.73236</v>
      </c>
      <c r="M13" s="5">
        <f t="shared" si="0"/>
        <v>197514704397.06189</v>
      </c>
    </row>
    <row r="14" spans="1:14" x14ac:dyDescent="0.25">
      <c r="A14" s="2"/>
      <c r="B14" s="2"/>
      <c r="C14" s="5"/>
      <c r="D14" s="5"/>
    </row>
    <row r="15" spans="1:14" x14ac:dyDescent="0.25">
      <c r="A15" s="4" t="s">
        <v>6</v>
      </c>
      <c r="B15" s="2"/>
      <c r="C15" s="5"/>
      <c r="D15" s="5"/>
    </row>
    <row r="16" spans="1:14" x14ac:dyDescent="0.25">
      <c r="A16" s="3" t="str">
        <f>Hoja4!$B$38</f>
        <v>Gastos de personal</v>
      </c>
      <c r="B16" s="5">
        <f>Hoja4!B54*10.41%+Hoja4!B54</f>
        <v>60064538.2360975</v>
      </c>
      <c r="C16" s="5">
        <f t="shared" ref="C16:M16" si="1">B16*10.41%+B16</f>
        <v>66317256.666475251</v>
      </c>
      <c r="D16" s="5">
        <f t="shared" si="1"/>
        <v>73220883.085455328</v>
      </c>
      <c r="E16" s="5">
        <f t="shared" si="1"/>
        <v>80843177.014651224</v>
      </c>
      <c r="F16" s="5">
        <f t="shared" si="1"/>
        <v>89258951.741876423</v>
      </c>
      <c r="G16" s="5">
        <f t="shared" si="1"/>
        <v>98550808.618205756</v>
      </c>
      <c r="H16" s="5">
        <f t="shared" si="1"/>
        <v>108809947.79536098</v>
      </c>
      <c r="I16" s="5">
        <f t="shared" si="1"/>
        <v>120137063.36085805</v>
      </c>
      <c r="J16" s="5">
        <f t="shared" si="1"/>
        <v>132643331.65672338</v>
      </c>
      <c r="K16" s="5">
        <f t="shared" si="1"/>
        <v>146451502.48218828</v>
      </c>
      <c r="L16" s="5">
        <f t="shared" si="1"/>
        <v>161697103.89058408</v>
      </c>
      <c r="M16" s="5">
        <f t="shared" si="1"/>
        <v>178529772.40559387</v>
      </c>
      <c r="N16" s="17" t="s">
        <v>29</v>
      </c>
    </row>
    <row r="17" spans="1:14" x14ac:dyDescent="0.25">
      <c r="A17" s="3" t="str">
        <f>Hoja4!$C$38</f>
        <v>Bienes y servicios</v>
      </c>
      <c r="B17" s="5">
        <f>Hoja4!C54*10.41%+Hoja4!C54</f>
        <v>161807182.40514508</v>
      </c>
      <c r="C17" s="5">
        <f>B17*10.41%+B17</f>
        <v>178651310.09352067</v>
      </c>
      <c r="D17" s="5">
        <f t="shared" ref="D17:M20" si="2">C17*10.41%+C17</f>
        <v>197248911.47425616</v>
      </c>
      <c r="E17" s="5">
        <f t="shared" si="2"/>
        <v>217782523.15872622</v>
      </c>
      <c r="F17" s="5">
        <f t="shared" si="2"/>
        <v>240453683.81954962</v>
      </c>
      <c r="G17" s="5">
        <f t="shared" si="2"/>
        <v>265484912.30516472</v>
      </c>
      <c r="H17" s="5">
        <f t="shared" si="2"/>
        <v>293121891.67613238</v>
      </c>
      <c r="I17" s="5">
        <f t="shared" si="2"/>
        <v>323635880.59961778</v>
      </c>
      <c r="J17" s="5">
        <f t="shared" si="2"/>
        <v>357326375.77003801</v>
      </c>
      <c r="K17" s="5">
        <f t="shared" si="2"/>
        <v>394524051.48769897</v>
      </c>
      <c r="L17" s="5">
        <f t="shared" si="2"/>
        <v>435594005.24756843</v>
      </c>
      <c r="M17" s="5">
        <f t="shared" si="2"/>
        <v>480939341.19384032</v>
      </c>
      <c r="N17" s="17" t="s">
        <v>29</v>
      </c>
    </row>
    <row r="18" spans="1:14" x14ac:dyDescent="0.25">
      <c r="A18" s="3" t="str">
        <f>Hoja4!$D$38</f>
        <v>Depreciación y amortización</v>
      </c>
      <c r="B18" s="5">
        <f>Hoja4!D54*10.41%+Hoja4!D54</f>
        <v>97561.419924749993</v>
      </c>
      <c r="C18" s="5">
        <f>B18*10.41%+B18</f>
        <v>107717.56373891646</v>
      </c>
      <c r="D18" s="5">
        <f t="shared" si="2"/>
        <v>118930.96212413767</v>
      </c>
      <c r="E18" s="5">
        <f t="shared" si="2"/>
        <v>131311.6752812604</v>
      </c>
      <c r="F18" s="5">
        <f t="shared" si="2"/>
        <v>144981.22067803959</v>
      </c>
      <c r="G18" s="5">
        <f t="shared" si="2"/>
        <v>160073.76575062351</v>
      </c>
      <c r="H18" s="5">
        <f t="shared" si="2"/>
        <v>176737.44476526341</v>
      </c>
      <c r="I18" s="5">
        <f t="shared" si="2"/>
        <v>195135.81276532734</v>
      </c>
      <c r="J18" s="5">
        <f t="shared" si="2"/>
        <v>215449.45087419791</v>
      </c>
      <c r="K18" s="5">
        <f t="shared" si="2"/>
        <v>237877.7387102019</v>
      </c>
      <c r="L18" s="5">
        <f t="shared" si="2"/>
        <v>262640.8113099339</v>
      </c>
      <c r="M18" s="5">
        <f t="shared" si="2"/>
        <v>289981.71976729803</v>
      </c>
      <c r="N18" s="17" t="s">
        <v>29</v>
      </c>
    </row>
    <row r="19" spans="1:14" x14ac:dyDescent="0.25">
      <c r="A19" s="3" t="str">
        <f>Hoja4!$E$38</f>
        <v>Tributos</v>
      </c>
      <c r="B19" s="5">
        <f>Hoja4!E54*10.41%+Hoja4!E54</f>
        <v>39920726.678103998</v>
      </c>
      <c r="C19" s="5">
        <f>B19*10.41%+B19</f>
        <v>44076474.325294621</v>
      </c>
      <c r="D19" s="5">
        <f t="shared" si="2"/>
        <v>48664835.302557789</v>
      </c>
      <c r="E19" s="5">
        <f t="shared" si="2"/>
        <v>53730844.657554053</v>
      </c>
      <c r="F19" s="5">
        <f t="shared" si="2"/>
        <v>59324225.586405426</v>
      </c>
      <c r="G19" s="5">
        <f t="shared" si="2"/>
        <v>65499877.469950229</v>
      </c>
      <c r="H19" s="5">
        <f t="shared" si="2"/>
        <v>72318414.714572042</v>
      </c>
      <c r="I19" s="5">
        <f t="shared" si="2"/>
        <v>79846761.686358988</v>
      </c>
      <c r="J19" s="5">
        <f t="shared" si="2"/>
        <v>88158809.577908963</v>
      </c>
      <c r="K19" s="5">
        <f t="shared" si="2"/>
        <v>97336141.65496929</v>
      </c>
      <c r="L19" s="5">
        <f t="shared" si="2"/>
        <v>107468834.00125159</v>
      </c>
      <c r="M19" s="5">
        <f t="shared" si="2"/>
        <v>118656339.62078188</v>
      </c>
      <c r="N19" s="17" t="s">
        <v>29</v>
      </c>
    </row>
    <row r="20" spans="1:14" x14ac:dyDescent="0.25">
      <c r="A20" s="3" t="str">
        <f>Hoja4!$F$38</f>
        <v>Otros gastos</v>
      </c>
      <c r="B20" s="5">
        <f>Hoja4!F54*10.41%+Hoja4!F54</f>
        <v>17436385.884692334</v>
      </c>
      <c r="C20" s="5">
        <f>B20*10.41%+B20</f>
        <v>19251513.655288804</v>
      </c>
      <c r="D20" s="5">
        <f t="shared" si="2"/>
        <v>21255596.226804368</v>
      </c>
      <c r="E20" s="5">
        <f t="shared" si="2"/>
        <v>23468303.794014703</v>
      </c>
      <c r="F20" s="5">
        <f t="shared" si="2"/>
        <v>25911354.218971632</v>
      </c>
      <c r="G20" s="5">
        <f t="shared" si="2"/>
        <v>28608726.19316658</v>
      </c>
      <c r="H20" s="5">
        <f t="shared" si="2"/>
        <v>31586894.589875221</v>
      </c>
      <c r="I20" s="5">
        <f t="shared" si="2"/>
        <v>34875090.316681229</v>
      </c>
      <c r="J20" s="5">
        <f t="shared" si="2"/>
        <v>38505587.218647748</v>
      </c>
      <c r="K20" s="5">
        <f t="shared" si="2"/>
        <v>42514018.848108977</v>
      </c>
      <c r="L20" s="5">
        <f t="shared" si="2"/>
        <v>46939728.210197121</v>
      </c>
      <c r="M20" s="5">
        <f t="shared" si="2"/>
        <v>51826153.916878641</v>
      </c>
      <c r="N20" s="17" t="s">
        <v>29</v>
      </c>
    </row>
    <row r="21" spans="1:14" x14ac:dyDescent="0.25">
      <c r="A21" s="6" t="s">
        <v>7</v>
      </c>
      <c r="B21" s="8">
        <f t="shared" ref="B21:M21" si="3">SUM(B16:B20)</f>
        <v>279326394.62396359</v>
      </c>
      <c r="C21" s="8">
        <f t="shared" si="3"/>
        <v>308404272.30431831</v>
      </c>
      <c r="D21" s="8">
        <f t="shared" si="3"/>
        <v>340509157.05119771</v>
      </c>
      <c r="E21" s="8">
        <f t="shared" si="3"/>
        <v>375956160.30022746</v>
      </c>
      <c r="F21" s="8">
        <f t="shared" si="3"/>
        <v>415093196.58748114</v>
      </c>
      <c r="G21" s="8">
        <f t="shared" si="3"/>
        <v>458304398.35223788</v>
      </c>
      <c r="H21" s="8">
        <f t="shared" si="3"/>
        <v>506013886.22070587</v>
      </c>
      <c r="I21" s="8">
        <f t="shared" si="3"/>
        <v>558689931.77628136</v>
      </c>
      <c r="J21" s="8">
        <f t="shared" si="3"/>
        <v>616849553.67419231</v>
      </c>
      <c r="K21" s="8">
        <f t="shared" si="3"/>
        <v>681063592.21167576</v>
      </c>
      <c r="L21" s="8">
        <f t="shared" si="3"/>
        <v>751962312.16091108</v>
      </c>
      <c r="M21" s="8">
        <f t="shared" si="3"/>
        <v>830241588.85686207</v>
      </c>
    </row>
    <row r="22" spans="1:14" x14ac:dyDescent="0.25">
      <c r="A22" s="2"/>
      <c r="B22" s="2"/>
      <c r="C22" s="2"/>
      <c r="D22" s="5"/>
    </row>
    <row r="23" spans="1:14" x14ac:dyDescent="0.25">
      <c r="A23" s="3" t="s">
        <v>8</v>
      </c>
      <c r="B23" s="5">
        <f t="shared" ref="B23:M23" si="4">B13+B21</f>
        <v>10319699793.112438</v>
      </c>
      <c r="C23" s="5">
        <f t="shared" si="4"/>
        <v>13471939877.177588</v>
      </c>
      <c r="D23" s="5">
        <f t="shared" si="4"/>
        <v>17598698941.790928</v>
      </c>
      <c r="E23" s="5">
        <f t="shared" si="4"/>
        <v>23002484745.510239</v>
      </c>
      <c r="F23" s="5">
        <f t="shared" si="4"/>
        <v>30079838004.876572</v>
      </c>
      <c r="G23" s="5">
        <f t="shared" si="4"/>
        <v>39350575531.632965</v>
      </c>
      <c r="H23" s="5">
        <f t="shared" si="4"/>
        <v>51496129044.128937</v>
      </c>
      <c r="I23" s="5">
        <f t="shared" si="4"/>
        <v>67409808883.065536</v>
      </c>
      <c r="J23" s="5">
        <f t="shared" si="4"/>
        <v>88262701915.439285</v>
      </c>
      <c r="K23" s="5">
        <f t="shared" si="4"/>
        <v>115590066713.27576</v>
      </c>
      <c r="L23" s="5">
        <f t="shared" si="4"/>
        <v>151404601797.89328</v>
      </c>
      <c r="M23" s="5">
        <f t="shared" si="4"/>
        <v>198344945985.91876</v>
      </c>
    </row>
    <row r="24" spans="1:14" x14ac:dyDescent="0.25">
      <c r="A24" s="2"/>
      <c r="B24" s="2"/>
      <c r="C24" s="2"/>
      <c r="D24" s="5"/>
    </row>
    <row r="25" spans="1:14" x14ac:dyDescent="0.25">
      <c r="A25" s="3" t="s">
        <v>10</v>
      </c>
      <c r="B25" s="18">
        <v>5954544841.1000004</v>
      </c>
      <c r="C25" s="7">
        <f>B27</f>
        <v>16274244634.212439</v>
      </c>
      <c r="D25" s="7">
        <f>C27</f>
        <v>29746184511.390026</v>
      </c>
      <c r="E25" s="7">
        <f>D27</f>
        <v>47344883453.180954</v>
      </c>
      <c r="F25" s="7">
        <f>E27</f>
        <v>70347368198.691193</v>
      </c>
      <c r="G25" s="7">
        <f>F27</f>
        <v>100427206203.56776</v>
      </c>
      <c r="H25" s="7">
        <f t="shared" ref="H25:I25" si="5">G27</f>
        <v>139777781735.20074</v>
      </c>
      <c r="I25" s="7">
        <f t="shared" si="5"/>
        <v>191273910779.32968</v>
      </c>
      <c r="J25" s="7">
        <f>I27</f>
        <v>258683719662.3952</v>
      </c>
      <c r="K25" s="7">
        <f>J27</f>
        <v>346946421577.83447</v>
      </c>
      <c r="L25" s="7">
        <f>K27</f>
        <v>462536488291.11023</v>
      </c>
      <c r="M25" s="7">
        <f>L27</f>
        <v>613941090089.00354</v>
      </c>
    </row>
    <row r="26" spans="1:14" x14ac:dyDescent="0.25">
      <c r="A26" s="2"/>
      <c r="B26" s="2"/>
      <c r="C26" s="2"/>
      <c r="D26" s="5"/>
    </row>
    <row r="27" spans="1:14" x14ac:dyDescent="0.25">
      <c r="A27" s="3" t="s">
        <v>9</v>
      </c>
      <c r="B27" s="5">
        <f>B23+B25</f>
        <v>16274244634.212439</v>
      </c>
      <c r="C27" s="5">
        <f t="shared" ref="C27:J27" si="6">C23+C25</f>
        <v>29746184511.390026</v>
      </c>
      <c r="D27" s="5">
        <f t="shared" si="6"/>
        <v>47344883453.180954</v>
      </c>
      <c r="E27" s="5">
        <f t="shared" si="6"/>
        <v>70347368198.691193</v>
      </c>
      <c r="F27" s="5">
        <f t="shared" si="6"/>
        <v>100427206203.56776</v>
      </c>
      <c r="G27" s="5">
        <f t="shared" si="6"/>
        <v>139777781735.20074</v>
      </c>
      <c r="H27" s="5">
        <f t="shared" si="6"/>
        <v>191273910779.32968</v>
      </c>
      <c r="I27" s="5">
        <f t="shared" si="6"/>
        <v>258683719662.3952</v>
      </c>
      <c r="J27" s="5">
        <f t="shared" si="6"/>
        <v>346946421577.83447</v>
      </c>
      <c r="K27" s="5">
        <f t="shared" ref="K27:M27" si="7">K23+K25</f>
        <v>462536488291.11023</v>
      </c>
      <c r="L27" s="5">
        <f t="shared" si="7"/>
        <v>613941090089.00354</v>
      </c>
      <c r="M27" s="5">
        <f t="shared" si="7"/>
        <v>812286036074.92236</v>
      </c>
    </row>
    <row r="31" spans="1:14" x14ac:dyDescent="0.25">
      <c r="A31" s="19" t="s">
        <v>17</v>
      </c>
      <c r="B31" t="s">
        <v>27</v>
      </c>
    </row>
    <row r="32" spans="1:14" x14ac:dyDescent="0.25">
      <c r="A32" s="19" t="s">
        <v>18</v>
      </c>
      <c r="B32" t="s">
        <v>36</v>
      </c>
    </row>
    <row r="33" spans="1:2" x14ac:dyDescent="0.25">
      <c r="A33" s="19" t="s">
        <v>19</v>
      </c>
      <c r="B33" t="s">
        <v>37</v>
      </c>
    </row>
    <row r="34" spans="1:2" x14ac:dyDescent="0.25">
      <c r="A34" s="19" t="s">
        <v>29</v>
      </c>
      <c r="B34" t="s">
        <v>28</v>
      </c>
    </row>
  </sheetData>
  <mergeCells count="4">
    <mergeCell ref="A1:N1"/>
    <mergeCell ref="A2:N2"/>
    <mergeCell ref="A3:N3"/>
    <mergeCell ref="A4:N4"/>
  </mergeCells>
  <pageMargins left="0.9055118110236221" right="0.11811023622047245" top="1.3779527559055118" bottom="0.74803149606299213" header="0.31496062992125984" footer="0.31496062992125984"/>
  <pageSetup scale="3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34"/>
  <sheetViews>
    <sheetView workbookViewId="0">
      <selection activeCell="J35" sqref="J35"/>
    </sheetView>
  </sheetViews>
  <sheetFormatPr baseColWidth="10" defaultRowHeight="15" x14ac:dyDescent="0.25"/>
  <cols>
    <col min="1" max="1" width="6" customWidth="1"/>
    <col min="2" max="2" width="43.42578125" customWidth="1"/>
    <col min="3" max="8" width="26.140625" customWidth="1"/>
    <col min="9" max="9" width="4.7109375" style="17" customWidth="1"/>
  </cols>
  <sheetData>
    <row r="1" spans="2:9" ht="15.75" x14ac:dyDescent="0.25">
      <c r="B1" s="38" t="s">
        <v>35</v>
      </c>
      <c r="C1" s="38"/>
      <c r="D1" s="38"/>
      <c r="E1" s="38"/>
      <c r="F1" s="38"/>
      <c r="G1" s="38"/>
      <c r="H1" s="38"/>
      <c r="I1" s="38"/>
    </row>
    <row r="2" spans="2:9" ht="15.75" x14ac:dyDescent="0.25">
      <c r="B2" s="38" t="s">
        <v>0</v>
      </c>
      <c r="C2" s="38"/>
      <c r="D2" s="38"/>
      <c r="E2" s="38"/>
      <c r="F2" s="38"/>
      <c r="G2" s="38"/>
      <c r="H2" s="38"/>
      <c r="I2" s="38"/>
    </row>
    <row r="3" spans="2:9" ht="15.75" x14ac:dyDescent="0.25">
      <c r="B3" s="38" t="s">
        <v>34</v>
      </c>
      <c r="C3" s="38"/>
      <c r="D3" s="38"/>
      <c r="E3" s="38"/>
      <c r="F3" s="38"/>
      <c r="G3" s="38"/>
      <c r="H3" s="38"/>
      <c r="I3" s="38"/>
    </row>
    <row r="4" spans="2:9" ht="15.75" x14ac:dyDescent="0.25">
      <c r="B4" s="38" t="s">
        <v>1</v>
      </c>
      <c r="C4" s="38"/>
      <c r="D4" s="38"/>
      <c r="E4" s="38"/>
      <c r="F4" s="38"/>
      <c r="G4" s="38"/>
      <c r="H4" s="38"/>
      <c r="I4" s="38"/>
    </row>
    <row r="6" spans="2:9" s="9" customFormat="1" x14ac:dyDescent="0.25">
      <c r="B6" s="1"/>
      <c r="C6" s="10">
        <v>43497</v>
      </c>
      <c r="D6" s="10">
        <v>43525</v>
      </c>
      <c r="E6" s="10">
        <v>43556</v>
      </c>
      <c r="F6" s="10">
        <v>43586</v>
      </c>
      <c r="G6" s="10">
        <v>43617</v>
      </c>
      <c r="H6" s="10">
        <v>43647</v>
      </c>
      <c r="I6" s="17"/>
    </row>
    <row r="7" spans="2:9" x14ac:dyDescent="0.25">
      <c r="B7" s="2" t="s">
        <v>2</v>
      </c>
      <c r="C7" s="5">
        <f>año1!M7*Hoja4!F16+año1!M7</f>
        <v>265232392934.47693</v>
      </c>
      <c r="D7" s="5">
        <f>C7*Hoja4!$F$16+C7</f>
        <v>347735677687.47888</v>
      </c>
      <c r="E7" s="5">
        <f>D7*Hoja4!$F$16+D7</f>
        <v>455902464246.29712</v>
      </c>
      <c r="F7" s="5">
        <f>E7*Hoja4!$F$16+E7</f>
        <v>597715650830.18311</v>
      </c>
      <c r="G7" s="5">
        <f>F7*Hoja4!$F$16+F7</f>
        <v>783641298886.11609</v>
      </c>
      <c r="H7" s="5">
        <f>G7*Hoja4!$F$16+G7</f>
        <v>1027401046746.874</v>
      </c>
      <c r="I7" s="17" t="s">
        <v>17</v>
      </c>
    </row>
    <row r="8" spans="2:9" x14ac:dyDescent="0.25">
      <c r="B8" s="3" t="s">
        <v>3</v>
      </c>
      <c r="C8" s="5">
        <f>C7*Hoja4!$C$35%</f>
        <v>246166090268.49011</v>
      </c>
      <c r="D8" s="5">
        <f>D7*Hoja4!$C$35%</f>
        <v>322738603969.60388</v>
      </c>
      <c r="E8" s="5">
        <f>E7*Hoja4!$C$35%</f>
        <v>423129791672.94177</v>
      </c>
      <c r="F8" s="5">
        <f>F7*Hoja4!$C$35%</f>
        <v>554748698789.21997</v>
      </c>
      <c r="G8" s="5">
        <f>G7*Hoja4!$C$35%</f>
        <v>727309031093.24207</v>
      </c>
      <c r="H8" s="5">
        <f>H7*Hoja4!$C$35%</f>
        <v>953546043216.18994</v>
      </c>
      <c r="I8" s="17" t="s">
        <v>18</v>
      </c>
    </row>
    <row r="9" spans="2:9" x14ac:dyDescent="0.25">
      <c r="B9" s="2"/>
      <c r="C9" s="2"/>
      <c r="D9" s="5"/>
      <c r="E9" s="5"/>
    </row>
    <row r="10" spans="2:9" x14ac:dyDescent="0.25">
      <c r="B10" s="4" t="s">
        <v>4</v>
      </c>
      <c r="C10" s="2"/>
      <c r="D10" s="5"/>
      <c r="E10" s="5"/>
      <c r="F10" s="5"/>
      <c r="G10" s="5"/>
      <c r="H10" s="5"/>
    </row>
    <row r="11" spans="2:9" x14ac:dyDescent="0.25">
      <c r="B11" s="3" t="s">
        <v>15</v>
      </c>
      <c r="C11" s="5">
        <f>C7-C7*Hoja4!$G$14%</f>
        <v>238768895768.52777</v>
      </c>
      <c r="D11" s="5">
        <f>D7-D7*Hoja4!$G$14%</f>
        <v>313040435454.16937</v>
      </c>
      <c r="E11" s="5">
        <f>E7-E7*Hoja4!$G$14%</f>
        <v>410414907326.68811</v>
      </c>
      <c r="F11" s="5">
        <f>F7-F7*Hoja4!$G$14%</f>
        <v>538078717887.02026</v>
      </c>
      <c r="G11" s="5">
        <f>G7-G7*Hoja4!$G$14%</f>
        <v>705453679859.82104</v>
      </c>
      <c r="H11" s="5">
        <f>H7-H7*Hoja4!$G$14%</f>
        <v>924892358467.62683</v>
      </c>
    </row>
    <row r="12" spans="2:9" x14ac:dyDescent="0.25">
      <c r="B12" s="3" t="s">
        <v>16</v>
      </c>
      <c r="C12" s="7">
        <f>Hoja4!B14*Hoja4!G14%</f>
        <v>782622430.69000006</v>
      </c>
      <c r="D12" s="7">
        <f>C7*Hoja4!$G$14%</f>
        <v>26463497165.949169</v>
      </c>
      <c r="E12" s="7">
        <f>D7*Hoja4!$G$14%</f>
        <v>34695242233.309525</v>
      </c>
      <c r="F12" s="7">
        <f>E7*Hoja4!$G$14%</f>
        <v>45487556919.609024</v>
      </c>
      <c r="G12" s="7">
        <f>F7*Hoja4!$G$14%</f>
        <v>59636932943.162827</v>
      </c>
      <c r="H12" s="7">
        <f>G7*Hoja4!$G$14%</f>
        <v>78187619026.294998</v>
      </c>
      <c r="I12" s="17" t="s">
        <v>19</v>
      </c>
    </row>
    <row r="13" spans="2:9" x14ac:dyDescent="0.25">
      <c r="B13" s="6" t="s">
        <v>5</v>
      </c>
      <c r="C13" s="5">
        <f>C11+C12</f>
        <v>239551518199.21777</v>
      </c>
      <c r="D13" s="5">
        <f t="shared" ref="D13:H13" si="0">D11+D12</f>
        <v>339503932620.11853</v>
      </c>
      <c r="E13" s="5">
        <f t="shared" si="0"/>
        <v>445110149559.99762</v>
      </c>
      <c r="F13" s="5">
        <f t="shared" si="0"/>
        <v>583566274806.62927</v>
      </c>
      <c r="G13" s="5">
        <f t="shared" si="0"/>
        <v>765090612802.98389</v>
      </c>
      <c r="H13" s="5">
        <f t="shared" si="0"/>
        <v>1003079977493.9219</v>
      </c>
    </row>
    <row r="14" spans="2:9" x14ac:dyDescent="0.25">
      <c r="B14" s="2"/>
      <c r="C14" s="2"/>
      <c r="D14" s="5"/>
      <c r="E14" s="5"/>
    </row>
    <row r="15" spans="2:9" x14ac:dyDescent="0.25">
      <c r="B15" s="4" t="s">
        <v>6</v>
      </c>
      <c r="C15" s="2"/>
      <c r="D15" s="5"/>
      <c r="E15" s="5"/>
    </row>
    <row r="16" spans="2:9" x14ac:dyDescent="0.25">
      <c r="B16" s="3" t="str">
        <f>Hoja4!$B$38</f>
        <v>Gastos de personal</v>
      </c>
      <c r="C16" s="5">
        <f>Hoja4!B54*10.41%+Hoja4!B54</f>
        <v>60064538.2360975</v>
      </c>
      <c r="D16" s="5">
        <f t="shared" ref="D16:H20" si="1">C16*10.41%+C16</f>
        <v>66317256.666475251</v>
      </c>
      <c r="E16" s="5">
        <f t="shared" si="1"/>
        <v>73220883.085455328</v>
      </c>
      <c r="F16" s="5">
        <f t="shared" si="1"/>
        <v>80843177.014651224</v>
      </c>
      <c r="G16" s="5">
        <f t="shared" si="1"/>
        <v>89258951.741876423</v>
      </c>
      <c r="H16" s="5">
        <f>G16*10.41%+G16</f>
        <v>98550808.618205756</v>
      </c>
      <c r="I16" s="17" t="s">
        <v>29</v>
      </c>
    </row>
    <row r="17" spans="2:9" x14ac:dyDescent="0.25">
      <c r="B17" s="3" t="str">
        <f>Hoja4!$C$38</f>
        <v>Bienes y servicios</v>
      </c>
      <c r="C17" s="5">
        <f>Hoja4!C54*10.41%+Hoja4!C54</f>
        <v>161807182.40514508</v>
      </c>
      <c r="D17" s="5">
        <f>C17*10.41%+C17</f>
        <v>178651310.09352067</v>
      </c>
      <c r="E17" s="5">
        <f t="shared" si="1"/>
        <v>197248911.47425616</v>
      </c>
      <c r="F17" s="5">
        <f t="shared" si="1"/>
        <v>217782523.15872622</v>
      </c>
      <c r="G17" s="5">
        <f t="shared" si="1"/>
        <v>240453683.81954962</v>
      </c>
      <c r="H17" s="5">
        <f t="shared" si="1"/>
        <v>265484912.30516472</v>
      </c>
      <c r="I17" s="17" t="s">
        <v>29</v>
      </c>
    </row>
    <row r="18" spans="2:9" x14ac:dyDescent="0.25">
      <c r="B18" s="3" t="str">
        <f>Hoja4!$D$38</f>
        <v>Depreciación y amortización</v>
      </c>
      <c r="C18" s="5">
        <f>Hoja4!D54*10.41%+Hoja4!D54</f>
        <v>97561.419924749993</v>
      </c>
      <c r="D18" s="5">
        <f>C18*10.41%+C18</f>
        <v>107717.56373891646</v>
      </c>
      <c r="E18" s="5">
        <f t="shared" si="1"/>
        <v>118930.96212413767</v>
      </c>
      <c r="F18" s="5">
        <f t="shared" si="1"/>
        <v>131311.6752812604</v>
      </c>
      <c r="G18" s="5">
        <f t="shared" si="1"/>
        <v>144981.22067803959</v>
      </c>
      <c r="H18" s="5">
        <f t="shared" si="1"/>
        <v>160073.76575062351</v>
      </c>
      <c r="I18" s="17" t="s">
        <v>29</v>
      </c>
    </row>
    <row r="19" spans="2:9" x14ac:dyDescent="0.25">
      <c r="B19" s="3" t="str">
        <f>Hoja4!$E$38</f>
        <v>Tributos</v>
      </c>
      <c r="C19" s="5">
        <f>Hoja4!E54*10.41%+Hoja4!E54</f>
        <v>39920726.678103998</v>
      </c>
      <c r="D19" s="5">
        <f>C19*10.41%+C19</f>
        <v>44076474.325294621</v>
      </c>
      <c r="E19" s="5">
        <f t="shared" si="1"/>
        <v>48664835.302557789</v>
      </c>
      <c r="F19" s="5">
        <f t="shared" si="1"/>
        <v>53730844.657554053</v>
      </c>
      <c r="G19" s="5">
        <f t="shared" si="1"/>
        <v>59324225.586405426</v>
      </c>
      <c r="H19" s="5">
        <f t="shared" si="1"/>
        <v>65499877.469950229</v>
      </c>
      <c r="I19" s="17" t="s">
        <v>29</v>
      </c>
    </row>
    <row r="20" spans="2:9" x14ac:dyDescent="0.25">
      <c r="B20" s="3" t="str">
        <f>Hoja4!$F$38</f>
        <v>Otros gastos</v>
      </c>
      <c r="C20" s="5">
        <f>Hoja4!F54*10.41%+Hoja4!F54</f>
        <v>17436385.884692334</v>
      </c>
      <c r="D20" s="5">
        <f>C20*10.41%+C20</f>
        <v>19251513.655288804</v>
      </c>
      <c r="E20" s="5">
        <f t="shared" si="1"/>
        <v>21255596.226804368</v>
      </c>
      <c r="F20" s="5">
        <f t="shared" si="1"/>
        <v>23468303.794014703</v>
      </c>
      <c r="G20" s="5">
        <f t="shared" si="1"/>
        <v>25911354.218971632</v>
      </c>
      <c r="H20" s="5">
        <f t="shared" si="1"/>
        <v>28608726.19316658</v>
      </c>
      <c r="I20" s="17" t="s">
        <v>29</v>
      </c>
    </row>
    <row r="21" spans="2:9" x14ac:dyDescent="0.25">
      <c r="B21" s="6" t="s">
        <v>7</v>
      </c>
      <c r="C21" s="8">
        <f t="shared" ref="C21:H21" si="2">SUM(C16:C20)</f>
        <v>279326394.62396359</v>
      </c>
      <c r="D21" s="8">
        <f t="shared" si="2"/>
        <v>308404272.30431831</v>
      </c>
      <c r="E21" s="8">
        <f t="shared" si="2"/>
        <v>340509157.05119771</v>
      </c>
      <c r="F21" s="8">
        <f t="shared" si="2"/>
        <v>375956160.30022746</v>
      </c>
      <c r="G21" s="8">
        <f t="shared" si="2"/>
        <v>415093196.58748114</v>
      </c>
      <c r="H21" s="8">
        <f t="shared" si="2"/>
        <v>458304398.35223788</v>
      </c>
    </row>
    <row r="22" spans="2:9" x14ac:dyDescent="0.25">
      <c r="B22" s="2"/>
      <c r="C22" s="2"/>
      <c r="D22" s="2"/>
      <c r="E22" s="5"/>
    </row>
    <row r="23" spans="2:9" x14ac:dyDescent="0.25">
      <c r="B23" s="3" t="s">
        <v>8</v>
      </c>
      <c r="C23" s="5">
        <f t="shared" ref="C23:H23" si="3">C13+C21</f>
        <v>239830844593.84174</v>
      </c>
      <c r="D23" s="5">
        <f t="shared" si="3"/>
        <v>339812336892.42285</v>
      </c>
      <c r="E23" s="5">
        <f t="shared" si="3"/>
        <v>445450658717.04883</v>
      </c>
      <c r="F23" s="5">
        <f t="shared" si="3"/>
        <v>583942230966.92944</v>
      </c>
      <c r="G23" s="5">
        <f t="shared" si="3"/>
        <v>765505705999.57141</v>
      </c>
      <c r="H23" s="5">
        <f t="shared" si="3"/>
        <v>1003538281892.2742</v>
      </c>
    </row>
    <row r="24" spans="2:9" x14ac:dyDescent="0.25">
      <c r="B24" s="2"/>
      <c r="C24" s="2"/>
      <c r="D24" s="2"/>
      <c r="E24" s="5"/>
    </row>
    <row r="25" spans="2:9" x14ac:dyDescent="0.25">
      <c r="B25" s="3" t="s">
        <v>10</v>
      </c>
      <c r="C25" s="18">
        <f>323624987+381925621.61-2964605.68+263875645.55+3548265.31</f>
        <v>970009913.78999996</v>
      </c>
      <c r="D25" s="7">
        <f t="shared" ref="D25:H25" si="4">C27</f>
        <v>240800854507.63174</v>
      </c>
      <c r="E25" s="7">
        <f t="shared" si="4"/>
        <v>580613191400.05457</v>
      </c>
      <c r="F25" s="7">
        <f t="shared" si="4"/>
        <v>1026063850117.1034</v>
      </c>
      <c r="G25" s="7">
        <f t="shared" si="4"/>
        <v>1610006081084.0327</v>
      </c>
      <c r="H25" s="7">
        <f t="shared" si="4"/>
        <v>2375511787083.604</v>
      </c>
    </row>
    <row r="26" spans="2:9" x14ac:dyDescent="0.25">
      <c r="B26" s="2"/>
      <c r="C26" s="2"/>
      <c r="D26" s="2"/>
      <c r="E26" s="5"/>
    </row>
    <row r="27" spans="2:9" x14ac:dyDescent="0.25">
      <c r="B27" s="3" t="s">
        <v>9</v>
      </c>
      <c r="C27" s="5">
        <f>C23+C25</f>
        <v>240800854507.63174</v>
      </c>
      <c r="D27" s="5">
        <f t="shared" ref="D27:H27" si="5">D23+D25</f>
        <v>580613191400.05457</v>
      </c>
      <c r="E27" s="5">
        <f t="shared" si="5"/>
        <v>1026063850117.1034</v>
      </c>
      <c r="F27" s="5">
        <f t="shared" si="5"/>
        <v>1610006081084.0327</v>
      </c>
      <c r="G27" s="5">
        <f t="shared" si="5"/>
        <v>2375511787083.604</v>
      </c>
      <c r="H27" s="5">
        <f t="shared" si="5"/>
        <v>3379050068975.8779</v>
      </c>
    </row>
    <row r="31" spans="2:9" x14ac:dyDescent="0.25">
      <c r="B31" s="19" t="s">
        <v>17</v>
      </c>
      <c r="C31" t="s">
        <v>27</v>
      </c>
    </row>
    <row r="32" spans="2:9" x14ac:dyDescent="0.25">
      <c r="B32" s="19" t="s">
        <v>18</v>
      </c>
      <c r="C32" t="s">
        <v>26</v>
      </c>
    </row>
    <row r="33" spans="2:3" x14ac:dyDescent="0.25">
      <c r="B33" s="19" t="s">
        <v>19</v>
      </c>
      <c r="C33" t="s">
        <v>32</v>
      </c>
    </row>
    <row r="34" spans="2:3" x14ac:dyDescent="0.25">
      <c r="B34" s="19" t="s">
        <v>29</v>
      </c>
      <c r="C34" t="s">
        <v>28</v>
      </c>
    </row>
  </sheetData>
  <mergeCells count="4">
    <mergeCell ref="B1:I1"/>
    <mergeCell ref="B2:I2"/>
    <mergeCell ref="B3:I3"/>
    <mergeCell ref="B4:I4"/>
  </mergeCells>
  <pageMargins left="1" right="1" top="1" bottom="1" header="0.5" footer="0.5"/>
  <pageSetup paperSize="9" scale="5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2"/>
  <sheetViews>
    <sheetView topLeftCell="A23" zoomScale="150" zoomScaleNormal="150" workbookViewId="0">
      <selection activeCell="F15" sqref="F15"/>
    </sheetView>
  </sheetViews>
  <sheetFormatPr baseColWidth="10" defaultRowHeight="15" x14ac:dyDescent="0.25"/>
  <cols>
    <col min="2" max="2" width="17.7109375" customWidth="1"/>
    <col min="3" max="3" width="19.5703125" customWidth="1"/>
    <col min="4" max="4" width="20.28515625" customWidth="1"/>
    <col min="5" max="5" width="18" customWidth="1"/>
    <col min="6" max="6" width="20.28515625" customWidth="1"/>
  </cols>
  <sheetData>
    <row r="1" spans="1:8" x14ac:dyDescent="0.25">
      <c r="B1" s="12" t="s">
        <v>11</v>
      </c>
      <c r="C1" s="12" t="s">
        <v>12</v>
      </c>
      <c r="D1" s="12" t="s">
        <v>13</v>
      </c>
      <c r="E1" s="12"/>
    </row>
    <row r="2" spans="1:8" x14ac:dyDescent="0.25">
      <c r="A2" s="23">
        <v>42705</v>
      </c>
      <c r="B2" s="36">
        <v>519267810.98000002</v>
      </c>
      <c r="C2" s="26"/>
      <c r="D2" s="28"/>
      <c r="E2" s="12"/>
    </row>
    <row r="3" spans="1:8" x14ac:dyDescent="0.25">
      <c r="A3" s="23">
        <v>42736</v>
      </c>
      <c r="B3" s="25">
        <v>432344888.31</v>
      </c>
      <c r="C3" s="11">
        <f>B3-B2</f>
        <v>-86922922.670000017</v>
      </c>
      <c r="D3" s="20">
        <f>(C3*100)/B2</f>
        <v>-16.739516841213931</v>
      </c>
    </row>
    <row r="4" spans="1:8" x14ac:dyDescent="0.25">
      <c r="A4" s="23">
        <v>42767</v>
      </c>
      <c r="B4" s="25">
        <v>432040083.86000001</v>
      </c>
      <c r="C4" s="11">
        <f t="shared" ref="C4:C14" si="0">B4-B3</f>
        <v>-304804.44999998808</v>
      </c>
      <c r="D4" s="29">
        <f>(C4*100)/B3</f>
        <v>-7.0500301551255334E-2</v>
      </c>
      <c r="E4" s="20"/>
    </row>
    <row r="5" spans="1:8" x14ac:dyDescent="0.25">
      <c r="A5" s="23">
        <v>42795</v>
      </c>
      <c r="B5" s="25">
        <v>537463218.85000002</v>
      </c>
      <c r="C5" s="11">
        <f>B5-B4</f>
        <v>105423134.99000001</v>
      </c>
      <c r="D5" s="29">
        <f>(C5*100)/B4</f>
        <v>24.401239359115053</v>
      </c>
      <c r="E5" s="20"/>
    </row>
    <row r="6" spans="1:8" x14ac:dyDescent="0.25">
      <c r="A6" s="23">
        <v>42826</v>
      </c>
      <c r="B6" s="25">
        <v>681644185.24000001</v>
      </c>
      <c r="C6" s="11">
        <f>B6-B5</f>
        <v>144180966.38999999</v>
      </c>
      <c r="D6" s="20">
        <f>(C6*100)/B5</f>
        <v>26.826201558220355</v>
      </c>
      <c r="E6" s="20"/>
    </row>
    <row r="7" spans="1:8" x14ac:dyDescent="0.25">
      <c r="A7" s="23">
        <v>42856</v>
      </c>
      <c r="B7" s="25">
        <v>789691834.37</v>
      </c>
      <c r="C7" s="11">
        <f t="shared" si="0"/>
        <v>108047649.13</v>
      </c>
      <c r="D7" s="20">
        <f t="shared" ref="D7:D14" si="1">(C7*100)/B6</f>
        <v>15.851033643301383</v>
      </c>
      <c r="E7" s="20"/>
    </row>
    <row r="8" spans="1:8" x14ac:dyDescent="0.25">
      <c r="A8" s="23">
        <v>42887</v>
      </c>
      <c r="B8" s="25">
        <v>772384382</v>
      </c>
      <c r="C8" s="11">
        <f t="shared" si="0"/>
        <v>-17307452.370000005</v>
      </c>
      <c r="D8" s="20">
        <f t="shared" si="1"/>
        <v>-2.1916716897304043</v>
      </c>
      <c r="E8" s="20"/>
    </row>
    <row r="9" spans="1:8" x14ac:dyDescent="0.25">
      <c r="A9" s="23">
        <v>42917</v>
      </c>
      <c r="B9" s="25">
        <v>1065599694.89</v>
      </c>
      <c r="C9" s="11">
        <f t="shared" si="0"/>
        <v>293215312.88999999</v>
      </c>
      <c r="D9" s="20">
        <f t="shared" si="1"/>
        <v>37.962356531699008</v>
      </c>
      <c r="E9" s="20"/>
    </row>
    <row r="10" spans="1:8" x14ac:dyDescent="0.25">
      <c r="A10" s="23">
        <v>42948</v>
      </c>
      <c r="B10" s="25">
        <v>1080871878.24</v>
      </c>
      <c r="C10" s="11">
        <f t="shared" si="0"/>
        <v>15272183.350000024</v>
      </c>
      <c r="D10" s="20">
        <f t="shared" si="1"/>
        <v>1.4332007998159708</v>
      </c>
      <c r="E10" s="20"/>
    </row>
    <row r="11" spans="1:8" x14ac:dyDescent="0.25">
      <c r="A11" s="23">
        <v>42979</v>
      </c>
      <c r="B11" s="25">
        <v>1263189027.5799999</v>
      </c>
      <c r="C11" s="11">
        <f t="shared" si="0"/>
        <v>182317149.33999991</v>
      </c>
      <c r="D11" s="20">
        <f t="shared" si="1"/>
        <v>16.867600407632928</v>
      </c>
      <c r="E11" s="20"/>
    </row>
    <row r="12" spans="1:8" x14ac:dyDescent="0.25">
      <c r="A12" s="23">
        <v>43009</v>
      </c>
      <c r="B12" s="25">
        <v>1694138598.23</v>
      </c>
      <c r="C12" s="11">
        <f t="shared" si="0"/>
        <v>430949570.6500001</v>
      </c>
      <c r="D12" s="20">
        <f t="shared" si="1"/>
        <v>34.116000158393341</v>
      </c>
      <c r="E12" s="20"/>
    </row>
    <row r="13" spans="1:8" x14ac:dyDescent="0.25">
      <c r="A13" s="23">
        <v>43040</v>
      </c>
      <c r="B13" s="25">
        <v>3156604476.4899998</v>
      </c>
      <c r="C13" s="11">
        <f t="shared" si="0"/>
        <v>1462465878.2599998</v>
      </c>
      <c r="D13" s="20">
        <f t="shared" si="1"/>
        <v>86.325043286774346</v>
      </c>
      <c r="E13" s="20"/>
    </row>
    <row r="14" spans="1:8" x14ac:dyDescent="0.25">
      <c r="A14" s="23">
        <v>43070</v>
      </c>
      <c r="B14" s="37">
        <v>7843892239.7299995</v>
      </c>
      <c r="C14" s="11">
        <f t="shared" si="0"/>
        <v>4687287763.2399998</v>
      </c>
      <c r="D14" s="22">
        <f t="shared" si="1"/>
        <v>148.49145016901358</v>
      </c>
      <c r="E14" s="21">
        <v>782622430.69000006</v>
      </c>
      <c r="F14" t="s">
        <v>30</v>
      </c>
      <c r="G14">
        <f>E14*100/B14</f>
        <v>9.9774755538576763</v>
      </c>
      <c r="H14" t="s">
        <v>31</v>
      </c>
    </row>
    <row r="15" spans="1:8" x14ac:dyDescent="0.25">
      <c r="B15" s="11">
        <f>SUM(B3:B14)</f>
        <v>19749864507.790001</v>
      </c>
      <c r="C15" s="11"/>
      <c r="D15" s="11">
        <f>SUM(D3:D14)</f>
        <v>373.27243708147034</v>
      </c>
      <c r="F15" s="30">
        <f>D15/12</f>
        <v>31.106036423455862</v>
      </c>
    </row>
    <row r="16" spans="1:8" x14ac:dyDescent="0.25">
      <c r="B16" s="13"/>
      <c r="F16" s="31">
        <f>F15/100</f>
        <v>0.31106036423455863</v>
      </c>
    </row>
    <row r="18" spans="1:6" x14ac:dyDescent="0.25">
      <c r="B18" t="s">
        <v>14</v>
      </c>
    </row>
    <row r="19" spans="1:6" x14ac:dyDescent="0.25">
      <c r="A19" s="23">
        <v>42705</v>
      </c>
      <c r="B19" s="25">
        <v>443982423.54000002</v>
      </c>
      <c r="C19" s="26"/>
      <c r="D19" s="27"/>
    </row>
    <row r="20" spans="1:6" x14ac:dyDescent="0.25">
      <c r="A20" s="23">
        <v>42736</v>
      </c>
      <c r="B20" s="25">
        <v>300914800.44</v>
      </c>
      <c r="C20" s="11">
        <f>B20-B19</f>
        <v>-143067623.10000002</v>
      </c>
      <c r="D20" s="15">
        <f>(C20*100)/B19</f>
        <v>-32.223713263079325</v>
      </c>
      <c r="E20" s="15"/>
    </row>
    <row r="21" spans="1:6" x14ac:dyDescent="0.25">
      <c r="A21" s="23">
        <v>42767</v>
      </c>
      <c r="B21" s="25">
        <v>267942896.63999999</v>
      </c>
      <c r="C21" s="11">
        <f>B21-B20</f>
        <v>-32971903.800000012</v>
      </c>
      <c r="D21" s="15">
        <f>(C21*100)/B20</f>
        <v>-10.957222360544657</v>
      </c>
      <c r="E21" s="15"/>
    </row>
    <row r="22" spans="1:6" x14ac:dyDescent="0.25">
      <c r="A22" s="23">
        <v>42795</v>
      </c>
      <c r="B22" s="25">
        <v>418564594.68000001</v>
      </c>
      <c r="C22" s="11">
        <f>B22-B21</f>
        <v>150621698.04000002</v>
      </c>
      <c r="D22" s="15">
        <f t="shared" ref="D22:D31" si="2">(C22*100)/B21</f>
        <v>56.214103799277353</v>
      </c>
      <c r="E22" s="15"/>
    </row>
    <row r="23" spans="1:6" x14ac:dyDescent="0.25">
      <c r="A23" s="23">
        <v>42826</v>
      </c>
      <c r="B23" s="25">
        <v>321371546.42000002</v>
      </c>
      <c r="C23" s="11">
        <f>B23-B22</f>
        <v>-97193048.25999999</v>
      </c>
      <c r="D23" s="15">
        <f t="shared" si="2"/>
        <v>-23.220561293366391</v>
      </c>
      <c r="E23" s="15"/>
    </row>
    <row r="24" spans="1:6" x14ac:dyDescent="0.25">
      <c r="A24" s="23">
        <v>42856</v>
      </c>
      <c r="B24" s="25">
        <v>473175596.98000002</v>
      </c>
      <c r="C24" s="11">
        <f>B24-B23</f>
        <v>151804050.56</v>
      </c>
      <c r="D24" s="15">
        <f t="shared" si="2"/>
        <v>47.236307087873769</v>
      </c>
      <c r="E24" s="15"/>
    </row>
    <row r="25" spans="1:6" x14ac:dyDescent="0.25">
      <c r="A25" s="23">
        <v>42887</v>
      </c>
      <c r="B25" s="25">
        <v>774226575.04999995</v>
      </c>
      <c r="C25" s="11">
        <f t="shared" ref="C25:C31" si="3">B25-B24</f>
        <v>301050978.06999993</v>
      </c>
      <c r="D25" s="15">
        <f t="shared" si="2"/>
        <v>63.623521582987429</v>
      </c>
      <c r="E25" s="15"/>
    </row>
    <row r="26" spans="1:6" x14ac:dyDescent="0.25">
      <c r="A26" s="23">
        <v>42917</v>
      </c>
      <c r="B26" s="25">
        <v>1107984857.26</v>
      </c>
      <c r="C26" s="11">
        <f t="shared" si="3"/>
        <v>333758282.21000004</v>
      </c>
      <c r="D26" s="15">
        <f t="shared" si="2"/>
        <v>43.108605796493841</v>
      </c>
      <c r="E26" s="15"/>
    </row>
    <row r="27" spans="1:6" x14ac:dyDescent="0.25">
      <c r="A27" s="23">
        <v>42948</v>
      </c>
      <c r="B27" s="25">
        <v>1215623159.6500001</v>
      </c>
      <c r="C27" s="11">
        <f t="shared" si="3"/>
        <v>107638302.3900001</v>
      </c>
      <c r="D27" s="15">
        <f t="shared" si="2"/>
        <v>9.7147809994610501</v>
      </c>
      <c r="E27" s="15"/>
    </row>
    <row r="28" spans="1:6" x14ac:dyDescent="0.25">
      <c r="A28" s="23">
        <v>42979</v>
      </c>
      <c r="B28" s="25">
        <v>1990566642.3900001</v>
      </c>
      <c r="C28" s="11">
        <f t="shared" si="3"/>
        <v>774943482.74000001</v>
      </c>
      <c r="D28" s="15">
        <f t="shared" si="2"/>
        <v>63.748660642753819</v>
      </c>
      <c r="E28" s="15"/>
    </row>
    <row r="29" spans="1:6" x14ac:dyDescent="0.25">
      <c r="A29" s="23">
        <v>43009</v>
      </c>
      <c r="B29" s="25">
        <v>2250000839.1599998</v>
      </c>
      <c r="C29" s="11">
        <f t="shared" si="3"/>
        <v>259434196.76999974</v>
      </c>
      <c r="D29" s="15">
        <f t="shared" si="2"/>
        <v>13.033183177354296</v>
      </c>
      <c r="E29" s="15"/>
    </row>
    <row r="30" spans="1:6" x14ac:dyDescent="0.25">
      <c r="A30" s="23">
        <v>43040</v>
      </c>
      <c r="B30" s="25">
        <v>3293227385.52</v>
      </c>
      <c r="C30" s="11">
        <f t="shared" si="3"/>
        <v>1043226546.3600001</v>
      </c>
      <c r="D30" s="15">
        <f t="shared" si="2"/>
        <v>46.365606990149892</v>
      </c>
      <c r="E30" s="15"/>
      <c r="F30" s="35"/>
    </row>
    <row r="31" spans="1:6" x14ac:dyDescent="0.25">
      <c r="A31" s="23">
        <v>43070</v>
      </c>
      <c r="B31" s="37">
        <v>5916541234.7200003</v>
      </c>
      <c r="C31" s="14">
        <f t="shared" si="3"/>
        <v>2623313849.2000003</v>
      </c>
      <c r="D31" s="24">
        <f t="shared" si="2"/>
        <v>79.657841445581795</v>
      </c>
      <c r="E31" s="15"/>
      <c r="F31" s="35"/>
    </row>
    <row r="32" spans="1:6" x14ac:dyDescent="0.25">
      <c r="B32" s="13">
        <f>SUM(B20:B31)</f>
        <v>18330140128.910004</v>
      </c>
      <c r="D32" s="13">
        <f>SUM(D19:D31)</f>
        <v>356.30111460494288</v>
      </c>
      <c r="E32" s="13"/>
      <c r="F32" s="35"/>
    </row>
    <row r="33" spans="1:6" x14ac:dyDescent="0.25">
      <c r="B33" s="13"/>
      <c r="D33" s="13">
        <f>D32/12</f>
        <v>29.691759550411906</v>
      </c>
      <c r="E33" s="13"/>
      <c r="F33" s="35"/>
    </row>
    <row r="35" spans="1:6" x14ac:dyDescent="0.25">
      <c r="B35" s="13">
        <f>B15-B32</f>
        <v>1419724378.8799973</v>
      </c>
      <c r="C35" s="32">
        <f>(B32*100)/B15</f>
        <v>92.81147281633244</v>
      </c>
      <c r="D35" s="13">
        <f>100-C35</f>
        <v>7.1885271836675599</v>
      </c>
      <c r="E35" s="13"/>
    </row>
    <row r="38" spans="1:6" x14ac:dyDescent="0.25">
      <c r="B38" s="33" t="s">
        <v>20</v>
      </c>
      <c r="C38" s="34" t="s">
        <v>21</v>
      </c>
      <c r="D38" s="34" t="s">
        <v>22</v>
      </c>
      <c r="E38" s="34" t="s">
        <v>23</v>
      </c>
      <c r="F38" s="34" t="s">
        <v>24</v>
      </c>
    </row>
    <row r="39" spans="1:6" hidden="1" x14ac:dyDescent="0.25">
      <c r="A39" s="23">
        <v>42583</v>
      </c>
    </row>
    <row r="40" spans="1:6" hidden="1" x14ac:dyDescent="0.25">
      <c r="A40" s="23">
        <v>42614</v>
      </c>
    </row>
    <row r="41" spans="1:6" hidden="1" x14ac:dyDescent="0.25">
      <c r="A41" s="23">
        <v>42644</v>
      </c>
    </row>
    <row r="42" spans="1:6" hidden="1" x14ac:dyDescent="0.25">
      <c r="A42" s="23">
        <v>42675</v>
      </c>
    </row>
    <row r="43" spans="1:6" hidden="1" x14ac:dyDescent="0.25">
      <c r="A43" s="23">
        <v>42705</v>
      </c>
    </row>
    <row r="44" spans="1:6" hidden="1" x14ac:dyDescent="0.25">
      <c r="A44" s="23">
        <v>42736</v>
      </c>
    </row>
    <row r="45" spans="1:6" hidden="1" x14ac:dyDescent="0.25">
      <c r="A45" s="23">
        <v>42767</v>
      </c>
    </row>
    <row r="46" spans="1:6" hidden="1" x14ac:dyDescent="0.25">
      <c r="A46" s="23">
        <v>42795</v>
      </c>
    </row>
    <row r="47" spans="1:6" hidden="1" x14ac:dyDescent="0.25">
      <c r="A47" s="23">
        <v>42826</v>
      </c>
    </row>
    <row r="48" spans="1:6" hidden="1" x14ac:dyDescent="0.25">
      <c r="A48" s="23">
        <v>42856</v>
      </c>
    </row>
    <row r="49" spans="1:6" hidden="1" x14ac:dyDescent="0.25">
      <c r="A49" s="23">
        <v>42887</v>
      </c>
    </row>
    <row r="50" spans="1:6" hidden="1" x14ac:dyDescent="0.25">
      <c r="A50" s="23">
        <v>42917</v>
      </c>
    </row>
    <row r="51" spans="1:6" x14ac:dyDescent="0.25">
      <c r="A51" s="23">
        <v>42948</v>
      </c>
    </row>
    <row r="52" spans="1:6" x14ac:dyDescent="0.25">
      <c r="A52" s="23"/>
      <c r="B52" s="11">
        <f>3240000+137289154.44+10502143.41+84698443.34+4612667.46+160279545.59+252194329.46</f>
        <v>652816283.70000005</v>
      </c>
      <c r="C52" s="11">
        <f>5107935.37+176861.35+64557.24+1503.31+33589.69+632000+9034289.03+46464309.96+232036.78+1324951.43+7761982.15+3041371.69+48662130.92+36016744.12+1586026910.57+14033253.4</f>
        <v>1758614427.01</v>
      </c>
      <c r="D52" s="11">
        <f>101935.72+172198.56+41689.12+9000+735530.77</f>
        <v>1060354.17</v>
      </c>
      <c r="E52" s="11">
        <f>400894111.53+32987529.75</f>
        <v>433881641.27999997</v>
      </c>
      <c r="F52" s="11">
        <f>243345.2+1578939.72+8288554.12+33817518.01+8844232.57+3036437.44+133699740.82</f>
        <v>189508767.88</v>
      </c>
    </row>
    <row r="53" spans="1:6" x14ac:dyDescent="0.25">
      <c r="A53" s="23"/>
      <c r="B53" s="11">
        <v>0</v>
      </c>
      <c r="C53" s="11">
        <v>0</v>
      </c>
      <c r="D53" s="11">
        <v>0</v>
      </c>
      <c r="E53" s="11">
        <v>0</v>
      </c>
      <c r="F53" s="11">
        <v>0</v>
      </c>
    </row>
    <row r="54" spans="1:6" x14ac:dyDescent="0.25">
      <c r="A54" s="23"/>
      <c r="B54" s="11">
        <f>SUM(B52:B53)/12</f>
        <v>54401356.975000001</v>
      </c>
      <c r="C54" s="11">
        <f t="shared" ref="C54:F54" si="4">SUM(C52:C53)/12</f>
        <v>146551202.25083333</v>
      </c>
      <c r="D54" s="11">
        <f t="shared" si="4"/>
        <v>88362.847499999989</v>
      </c>
      <c r="E54" s="11">
        <f t="shared" si="4"/>
        <v>36156803.439999998</v>
      </c>
      <c r="F54" s="11">
        <f t="shared" si="4"/>
        <v>15792397.323333332</v>
      </c>
    </row>
    <row r="55" spans="1:6" x14ac:dyDescent="0.25">
      <c r="A55" s="23"/>
      <c r="B55" s="11"/>
      <c r="C55" s="11"/>
      <c r="D55" s="11"/>
      <c r="E55" s="11"/>
      <c r="F55" s="11"/>
    </row>
    <row r="56" spans="1:6" x14ac:dyDescent="0.25">
      <c r="B56" s="11">
        <f>SUM(B39:B51)</f>
        <v>0</v>
      </c>
      <c r="C56">
        <f>SUM(C39:C51)</f>
        <v>0</v>
      </c>
      <c r="D56">
        <f>SUM(D39:D51)</f>
        <v>0</v>
      </c>
      <c r="E56">
        <f>SUM(E39:E51)</f>
        <v>0</v>
      </c>
      <c r="F56">
        <f>SUM(F39:F51)</f>
        <v>0</v>
      </c>
    </row>
    <row r="57" spans="1:6" x14ac:dyDescent="0.25">
      <c r="B57" s="16">
        <f>B56*100/B15</f>
        <v>0</v>
      </c>
      <c r="C57" s="16">
        <f>C56*100/B15</f>
        <v>0</v>
      </c>
      <c r="D57" s="16">
        <f>D56*100/B15</f>
        <v>0</v>
      </c>
      <c r="E57" s="16">
        <f>E56*100/B15</f>
        <v>0</v>
      </c>
      <c r="F57" s="16">
        <f>F56*100/B15</f>
        <v>0</v>
      </c>
    </row>
    <row r="58" spans="1:6" x14ac:dyDescent="0.25">
      <c r="B58">
        <f>B57/100</f>
        <v>0</v>
      </c>
      <c r="C58">
        <f t="shared" ref="C58:F58" si="5">C57/100</f>
        <v>0</v>
      </c>
      <c r="D58">
        <f t="shared" si="5"/>
        <v>0</v>
      </c>
      <c r="E58">
        <f t="shared" si="5"/>
        <v>0</v>
      </c>
      <c r="F58">
        <f t="shared" si="5"/>
        <v>0</v>
      </c>
    </row>
    <row r="61" spans="1:6" x14ac:dyDescent="0.25">
      <c r="B61">
        <v>20.100000000000001</v>
      </c>
      <c r="C61" t="s">
        <v>25</v>
      </c>
    </row>
    <row r="62" spans="1:6" x14ac:dyDescent="0.25">
      <c r="B62">
        <f>B61/100</f>
        <v>0.20100000000000001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año1</vt:lpstr>
      <vt:lpstr>año 2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Contaduria</cp:lastModifiedBy>
  <cp:lastPrinted>2018-02-14T18:32:41Z</cp:lastPrinted>
  <dcterms:created xsi:type="dcterms:W3CDTF">2013-04-11T20:52:54Z</dcterms:created>
  <dcterms:modified xsi:type="dcterms:W3CDTF">2018-02-14T18:33:05Z</dcterms:modified>
</cp:coreProperties>
</file>