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0" yWindow="0" windowWidth="15360" windowHeight="7680"/>
  </bookViews>
  <sheets>
    <sheet name="año1" sheetId="2" r:id="rId1"/>
    <sheet name="año 2" sheetId="5" r:id="rId2"/>
    <sheet name="Hoja4" sheetId="4" r:id="rId3"/>
  </sheets>
  <calcPr calcId="145621"/>
</workbook>
</file>

<file path=xl/calcChain.xml><?xml version="1.0" encoding="utf-8"?>
<calcChain xmlns="http://schemas.openxmlformats.org/spreadsheetml/2006/main">
  <c r="C25" i="5" l="1"/>
  <c r="B20" i="5"/>
  <c r="B19" i="5"/>
  <c r="B18" i="5"/>
  <c r="B17" i="5"/>
  <c r="B16" i="5"/>
  <c r="B15" i="4"/>
  <c r="B32" i="4"/>
  <c r="G14" i="4" l="1"/>
  <c r="B12" i="2" l="1"/>
  <c r="C12" i="5"/>
  <c r="A20" i="2"/>
  <c r="A19" i="2"/>
  <c r="A18" i="2"/>
  <c r="A17" i="2"/>
  <c r="A16" i="2"/>
  <c r="F54" i="4"/>
  <c r="E54" i="4"/>
  <c r="D54" i="4"/>
  <c r="C54" i="4"/>
  <c r="B56" i="4"/>
  <c r="B18" i="2" l="1"/>
  <c r="C18" i="2" s="1"/>
  <c r="D18" i="2" s="1"/>
  <c r="E18" i="2" s="1"/>
  <c r="F18" i="2" s="1"/>
  <c r="G18" i="2" s="1"/>
  <c r="H18" i="2" s="1"/>
  <c r="I18" i="2" s="1"/>
  <c r="J18" i="2" s="1"/>
  <c r="K18" i="2" s="1"/>
  <c r="L18" i="2" s="1"/>
  <c r="M18" i="2" s="1"/>
  <c r="C18" i="5"/>
  <c r="D18" i="5" s="1"/>
  <c r="E18" i="5" s="1"/>
  <c r="F18" i="5" s="1"/>
  <c r="G18" i="5" s="1"/>
  <c r="H18" i="5" s="1"/>
  <c r="B20" i="2"/>
  <c r="C20" i="2" s="1"/>
  <c r="D20" i="2" s="1"/>
  <c r="E20" i="2" s="1"/>
  <c r="F20" i="2" s="1"/>
  <c r="G20" i="2" s="1"/>
  <c r="H20" i="2" s="1"/>
  <c r="I20" i="2" s="1"/>
  <c r="J20" i="2" s="1"/>
  <c r="K20" i="2" s="1"/>
  <c r="L20" i="2" s="1"/>
  <c r="M20" i="2" s="1"/>
  <c r="C20" i="5"/>
  <c r="D20" i="5" s="1"/>
  <c r="E20" i="5" s="1"/>
  <c r="F20" i="5" s="1"/>
  <c r="G20" i="5" s="1"/>
  <c r="H20" i="5" s="1"/>
  <c r="B17" i="2"/>
  <c r="C17" i="2" s="1"/>
  <c r="D17" i="2" s="1"/>
  <c r="E17" i="2" s="1"/>
  <c r="F17" i="2" s="1"/>
  <c r="G17" i="2" s="1"/>
  <c r="H17" i="2" s="1"/>
  <c r="I17" i="2" s="1"/>
  <c r="J17" i="2" s="1"/>
  <c r="K17" i="2" s="1"/>
  <c r="L17" i="2" s="1"/>
  <c r="M17" i="2" s="1"/>
  <c r="C17" i="5"/>
  <c r="D17" i="5" s="1"/>
  <c r="E17" i="5" s="1"/>
  <c r="F17" i="5" s="1"/>
  <c r="G17" i="5" s="1"/>
  <c r="H17" i="5" s="1"/>
  <c r="B19" i="2"/>
  <c r="C19" i="2" s="1"/>
  <c r="D19" i="2" s="1"/>
  <c r="E19" i="2" s="1"/>
  <c r="F19" i="2" s="1"/>
  <c r="G19" i="2" s="1"/>
  <c r="H19" i="2" s="1"/>
  <c r="I19" i="2" s="1"/>
  <c r="J19" i="2" s="1"/>
  <c r="K19" i="2" s="1"/>
  <c r="L19" i="2" s="1"/>
  <c r="M19" i="2" s="1"/>
  <c r="C19" i="5"/>
  <c r="D19" i="5" s="1"/>
  <c r="E19" i="5" s="1"/>
  <c r="F19" i="5" s="1"/>
  <c r="G19" i="5" s="1"/>
  <c r="H19" i="5" s="1"/>
  <c r="B52" i="4"/>
  <c r="B54" i="4" s="1"/>
  <c r="C21" i="4"/>
  <c r="C20" i="4"/>
  <c r="D20" i="4" s="1"/>
  <c r="C6" i="4"/>
  <c r="D6" i="4" s="1"/>
  <c r="C5" i="4"/>
  <c r="D5" i="4" s="1"/>
  <c r="C14" i="4"/>
  <c r="C13" i="4"/>
  <c r="C12" i="4"/>
  <c r="C11" i="4"/>
  <c r="C10" i="4"/>
  <c r="C9" i="4"/>
  <c r="C8" i="4"/>
  <c r="C7" i="4"/>
  <c r="C4" i="4"/>
  <c r="D4" i="4" s="1"/>
  <c r="C3" i="4"/>
  <c r="D3" i="4" s="1"/>
  <c r="B16" i="2" l="1"/>
  <c r="C16" i="2" s="1"/>
  <c r="D16" i="2" s="1"/>
  <c r="E16" i="2" s="1"/>
  <c r="F16" i="2" s="1"/>
  <c r="G16" i="2" s="1"/>
  <c r="H16" i="2" s="1"/>
  <c r="I16" i="2" s="1"/>
  <c r="J16" i="2" s="1"/>
  <c r="K16" i="2" s="1"/>
  <c r="L16" i="2" s="1"/>
  <c r="M16" i="2" s="1"/>
  <c r="C16" i="5"/>
  <c r="C56" i="4"/>
  <c r="D16" i="5" l="1"/>
  <c r="C21" i="5"/>
  <c r="C24" i="4"/>
  <c r="C23" i="4"/>
  <c r="C22" i="4"/>
  <c r="D21" i="4"/>
  <c r="E16" i="5" l="1"/>
  <c r="D21" i="5"/>
  <c r="B57" i="4"/>
  <c r="B58" i="4" s="1"/>
  <c r="F16" i="5" l="1"/>
  <c r="E21" i="5"/>
  <c r="C35" i="4"/>
  <c r="B35" i="4"/>
  <c r="D35" i="4"/>
  <c r="C57" i="4"/>
  <c r="B62" i="4"/>
  <c r="F56" i="4"/>
  <c r="E56" i="4"/>
  <c r="D56" i="4"/>
  <c r="C30" i="4"/>
  <c r="D30" i="4" s="1"/>
  <c r="C29" i="4"/>
  <c r="D29" i="4" s="1"/>
  <c r="C26" i="4"/>
  <c r="D26" i="4" s="1"/>
  <c r="C25" i="4"/>
  <c r="D25" i="4" s="1"/>
  <c r="D24" i="4"/>
  <c r="D23" i="4"/>
  <c r="D22" i="4"/>
  <c r="C31" i="4"/>
  <c r="D31" i="4" s="1"/>
  <c r="C27" i="4"/>
  <c r="D27" i="4" s="1"/>
  <c r="D14" i="4"/>
  <c r="D12" i="4"/>
  <c r="D11" i="4"/>
  <c r="D10" i="4"/>
  <c r="D9" i="4"/>
  <c r="D8" i="4"/>
  <c r="D7" i="4"/>
  <c r="G16" i="5" l="1"/>
  <c r="H16" i="5" s="1"/>
  <c r="F21" i="5"/>
  <c r="C28" i="4"/>
  <c r="D28" i="4" s="1"/>
  <c r="F57" i="4"/>
  <c r="F58" i="4" s="1"/>
  <c r="C58" i="4"/>
  <c r="D57" i="4"/>
  <c r="D58" i="4" s="1"/>
  <c r="E57" i="4"/>
  <c r="E58" i="4" s="1"/>
  <c r="D13" i="4"/>
  <c r="D15" i="4" s="1"/>
  <c r="H21" i="5" l="1"/>
  <c r="G21" i="5"/>
  <c r="D32" i="4"/>
  <c r="D33" i="4" s="1"/>
  <c r="F15" i="4"/>
  <c r="F16" i="4" s="1"/>
  <c r="B7" i="2" s="1"/>
  <c r="B8" i="2" s="1"/>
  <c r="B11" i="2" l="1"/>
  <c r="B13" i="2" s="1"/>
  <c r="C7" i="2"/>
  <c r="C11" i="2" s="1"/>
  <c r="C12" i="2"/>
  <c r="D12" i="2"/>
  <c r="C21" i="2"/>
  <c r="B21" i="2"/>
  <c r="D7" i="2" l="1"/>
  <c r="D11" i="2" s="1"/>
  <c r="D13" i="2" s="1"/>
  <c r="C13" i="2"/>
  <c r="C8" i="2"/>
  <c r="C23" i="2"/>
  <c r="B23" i="2"/>
  <c r="B27" i="2" s="1"/>
  <c r="C25" i="2" s="1"/>
  <c r="E7" i="2" l="1"/>
  <c r="F12" i="2" s="1"/>
  <c r="E12" i="2"/>
  <c r="D8" i="2"/>
  <c r="D21" i="2"/>
  <c r="D23" i="2" s="1"/>
  <c r="F7" i="2"/>
  <c r="C27" i="2"/>
  <c r="D25" i="2" s="1"/>
  <c r="E8" i="2" l="1"/>
  <c r="E11" i="2"/>
  <c r="E13" i="2" s="1"/>
  <c r="D27" i="2"/>
  <c r="E25" i="2" s="1"/>
  <c r="G12" i="2"/>
  <c r="F11" i="2"/>
  <c r="F13" i="2" s="1"/>
  <c r="E21" i="2"/>
  <c r="E23" i="2" s="1"/>
  <c r="F8" i="2"/>
  <c r="G7" i="2"/>
  <c r="E27" i="2" l="1"/>
  <c r="F25" i="2" s="1"/>
  <c r="H12" i="2"/>
  <c r="G11" i="2"/>
  <c r="G13" i="2" s="1"/>
  <c r="F21" i="2"/>
  <c r="F23" i="2" s="1"/>
  <c r="H7" i="2"/>
  <c r="G8" i="2"/>
  <c r="F27" i="2" l="1"/>
  <c r="G25" i="2" s="1"/>
  <c r="H11" i="2"/>
  <c r="H13" i="2" s="1"/>
  <c r="I12" i="2"/>
  <c r="G21" i="2"/>
  <c r="G23" i="2" s="1"/>
  <c r="H8" i="2"/>
  <c r="I7" i="2"/>
  <c r="G27" i="2" l="1"/>
  <c r="H25" i="2" s="1"/>
  <c r="J12" i="2"/>
  <c r="I11" i="2"/>
  <c r="H21" i="2"/>
  <c r="H23" i="2" s="1"/>
  <c r="I8" i="2"/>
  <c r="J7" i="2"/>
  <c r="I13" i="2"/>
  <c r="H27" i="2" l="1"/>
  <c r="I25" i="2" s="1"/>
  <c r="K12" i="2"/>
  <c r="J11" i="2"/>
  <c r="I21" i="2"/>
  <c r="I23" i="2" s="1"/>
  <c r="J8" i="2"/>
  <c r="K7" i="2"/>
  <c r="J13" i="2"/>
  <c r="I27" i="2" l="1"/>
  <c r="J25" i="2" s="1"/>
  <c r="L12" i="2"/>
  <c r="K11" i="2"/>
  <c r="K13" i="2" s="1"/>
  <c r="K8" i="2"/>
  <c r="L7" i="2"/>
  <c r="M7" i="2" s="1"/>
  <c r="C7" i="5" s="1"/>
  <c r="J21" i="2"/>
  <c r="J23" i="2" s="1"/>
  <c r="D12" i="5" l="1"/>
  <c r="C11" i="5"/>
  <c r="C13" i="5" s="1"/>
  <c r="C23" i="5" s="1"/>
  <c r="C27" i="5" s="1"/>
  <c r="D25" i="5" s="1"/>
  <c r="C8" i="5"/>
  <c r="D7" i="5"/>
  <c r="J27" i="2"/>
  <c r="K25" i="2" s="1"/>
  <c r="M12" i="2"/>
  <c r="L11" i="2"/>
  <c r="K21" i="2"/>
  <c r="K23" i="2" s="1"/>
  <c r="L13" i="2"/>
  <c r="L8" i="2"/>
  <c r="L21" i="2"/>
  <c r="K27" i="2" l="1"/>
  <c r="L25" i="2" s="1"/>
  <c r="E12" i="5"/>
  <c r="D8" i="5"/>
  <c r="D11" i="5"/>
  <c r="D13" i="5" s="1"/>
  <c r="D23" i="5" s="1"/>
  <c r="D27" i="5" s="1"/>
  <c r="E25" i="5" s="1"/>
  <c r="E7" i="5"/>
  <c r="M11" i="2"/>
  <c r="M8" i="2"/>
  <c r="L23" i="2"/>
  <c r="F12" i="5" l="1"/>
  <c r="E8" i="5"/>
  <c r="E11" i="5"/>
  <c r="E13" i="5" s="1"/>
  <c r="E23" i="5" s="1"/>
  <c r="E27" i="5" s="1"/>
  <c r="F25" i="5" s="1"/>
  <c r="F7" i="5"/>
  <c r="L27" i="2"/>
  <c r="M25" i="2" s="1"/>
  <c r="M13" i="2"/>
  <c r="M21" i="2"/>
  <c r="G12" i="5" l="1"/>
  <c r="F8" i="5"/>
  <c r="F11" i="5"/>
  <c r="F13" i="5" s="1"/>
  <c r="F23" i="5" s="1"/>
  <c r="F27" i="5" s="1"/>
  <c r="G25" i="5" s="1"/>
  <c r="G7" i="5"/>
  <c r="M23" i="2"/>
  <c r="M27" i="2" s="1"/>
  <c r="H7" i="5" l="1"/>
  <c r="H12" i="5"/>
  <c r="G8" i="5"/>
  <c r="G11" i="5"/>
  <c r="G13" i="5" s="1"/>
  <c r="G23" i="5" s="1"/>
  <c r="G27" i="5" s="1"/>
  <c r="H25" i="5" s="1"/>
  <c r="H8" i="5" l="1"/>
  <c r="H11" i="5"/>
  <c r="H13" i="5" s="1"/>
  <c r="H23" i="5" s="1"/>
  <c r="H27" i="5" s="1"/>
</calcChain>
</file>

<file path=xl/comments1.xml><?xml version="1.0" encoding="utf-8"?>
<comments xmlns="http://schemas.openxmlformats.org/spreadsheetml/2006/main">
  <authors>
    <author>Cont_AUX_2</author>
  </authors>
  <commentList>
    <comment ref="A17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Cont_AUX_2</author>
  </authors>
  <commentList>
    <comment ref="B17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<sst xmlns="http://schemas.openxmlformats.org/spreadsheetml/2006/main" count="74" uniqueCount="36">
  <si>
    <t>PRESUPUESTO DE FLUJO DE CAJA</t>
  </si>
  <si>
    <t>(Expresado a Valores Historicos)</t>
  </si>
  <si>
    <t>Ventas y servicios estimados</t>
  </si>
  <si>
    <t>Compras requeridas</t>
  </si>
  <si>
    <t>INGRESOS DE EFECTIVO</t>
  </si>
  <si>
    <t>Total Ingreso de Efectivo</t>
  </si>
  <si>
    <t>EGRESOS DE EFECTIVO</t>
  </si>
  <si>
    <t>Total Egresos de Efectivo</t>
  </si>
  <si>
    <t>Total Ingresos menos Egresos de efectivo</t>
  </si>
  <si>
    <t>Saldo de efectivo al final del mes</t>
  </si>
  <si>
    <t>Saldo del Efectivo al Principio del mes</t>
  </si>
  <si>
    <t>ventas</t>
  </si>
  <si>
    <t>variación</t>
  </si>
  <si>
    <t>% de variación</t>
  </si>
  <si>
    <t>compras</t>
  </si>
  <si>
    <t>Cobro de ventas en el mes</t>
  </si>
  <si>
    <t>Cobro de ventas a crédito del mes anterior</t>
  </si>
  <si>
    <t>(1)</t>
  </si>
  <si>
    <t>(2)</t>
  </si>
  <si>
    <t>(3)</t>
  </si>
  <si>
    <t>Gastos de personal</t>
  </si>
  <si>
    <t>Bienes y servicios</t>
  </si>
  <si>
    <t>Depreciación y amortización</t>
  </si>
  <si>
    <t>Tributos</t>
  </si>
  <si>
    <t>Otros gastos</t>
  </si>
  <si>
    <t>promedio mensual inflación 2016-2017</t>
  </si>
  <si>
    <t>Se estimó como un 89,92% de las ventas en cada mes, siendo este porcentaje, el resultante del análisis de los últimos 12 meses</t>
  </si>
  <si>
    <t xml:space="preserve">Se estimó aplicando a la venta de cada mes, un incremento, equivalente a la variación promedio de los últimos 12 meses </t>
  </si>
  <si>
    <t xml:space="preserve">Se tomo como base estimación de Índices Según BA VEN NIF 2 v3 FCCPV </t>
  </si>
  <si>
    <t>(4)</t>
  </si>
  <si>
    <t>cxc</t>
  </si>
  <si>
    <t>porcentaje de las ventas que queda por cobrar</t>
  </si>
  <si>
    <t>Se estimó como un 7,63% de las ventas en cada mes, siendo este porcentaje, el resultante del análisis de los últimos 12 meses</t>
  </si>
  <si>
    <t>Por los meses de febrero de 2018 a enero de 2019</t>
  </si>
  <si>
    <t>Por los meses de febrero de 2019 a julio de 2019</t>
  </si>
  <si>
    <t>Hiper Modelo, C.A.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</si>
</sst>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-* #,##0.00\ _€_-;\-* #,##0.00\ _€_-;_-* &quot;-&quot;??\ _€_-;_-@_-"/>
    <numFmt numFmtId="165" formatCode="0.00000"/>
    <numFmt numFmtId="166" formatCode="_ * #,##0.00000_ ;_ * \-#,##0.00000_ ;_ * &quot;-&quot;??_ ;_ @_ "/>
    <numFmt numFmtId="167" formatCode="_ * #,##0.00_ ;_ * \-#,##0.00_ ;_ * \-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3"/>
      </left>
      <right style="medium">
        <color indexed="63"/>
      </right>
      <top/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6" fillId="0" borderId="0"/>
    <xf numFmtId="167" fontId="6" fillId="0" borderId="0" applyFill="0" applyBorder="0" applyAlignment="0" applyProtection="0"/>
    <xf numFmtId="0" fontId="6" fillId="0" borderId="0"/>
    <xf numFmtId="9" fontId="6" fillId="0" borderId="0" applyFill="0" applyBorder="0" applyAlignment="0" applyProtection="0"/>
  </cellStyleXfs>
  <cellXfs count="38">
    <xf numFmtId="0" fontId="0" fillId="0" borderId="0" xfId="0"/>
    <xf numFmtId="0" fontId="2" fillId="0" borderId="0" xfId="2" applyNumberFormat="1"/>
    <xf numFmtId="0" fontId="2" fillId="0" borderId="0" xfId="2"/>
    <xf numFmtId="0" fontId="4" fillId="0" borderId="0" xfId="2" applyFont="1"/>
    <xf numFmtId="0" fontId="5" fillId="0" borderId="0" xfId="2" applyFont="1"/>
    <xf numFmtId="164" fontId="2" fillId="0" borderId="0" xfId="3" applyFont="1"/>
    <xf numFmtId="0" fontId="4" fillId="0" borderId="0" xfId="2" applyFont="1" applyAlignment="1">
      <alignment horizontal="right"/>
    </xf>
    <xf numFmtId="164" fontId="2" fillId="0" borderId="1" xfId="3" applyFont="1" applyBorder="1"/>
    <xf numFmtId="164" fontId="2" fillId="0" borderId="2" xfId="3" applyFont="1" applyBorder="1"/>
    <xf numFmtId="0" fontId="0" fillId="0" borderId="0" xfId="0" applyNumberFormat="1"/>
    <xf numFmtId="17" fontId="5" fillId="0" borderId="1" xfId="3" applyNumberFormat="1" applyFont="1" applyBorder="1" applyAlignment="1">
      <alignment horizontal="center"/>
    </xf>
    <xf numFmtId="43" fontId="0" fillId="0" borderId="0" xfId="1" applyFont="1"/>
    <xf numFmtId="0" fontId="0" fillId="0" borderId="0" xfId="0" applyAlignment="1">
      <alignment horizontal="center"/>
    </xf>
    <xf numFmtId="43" fontId="0" fillId="0" borderId="0" xfId="0" applyNumberFormat="1"/>
    <xf numFmtId="43" fontId="0" fillId="0" borderId="1" xfId="1" applyFont="1" applyBorder="1"/>
    <xf numFmtId="43" fontId="0" fillId="0" borderId="0" xfId="1" applyFont="1" applyFill="1" applyBorder="1"/>
    <xf numFmtId="165" fontId="0" fillId="0" borderId="0" xfId="0" applyNumberFormat="1"/>
    <xf numFmtId="49" fontId="0" fillId="0" borderId="0" xfId="0" applyNumberFormat="1" applyAlignment="1">
      <alignment horizontal="center"/>
    </xf>
    <xf numFmtId="164" fontId="2" fillId="0" borderId="1" xfId="3" applyFont="1" applyFill="1" applyBorder="1"/>
    <xf numFmtId="49" fontId="0" fillId="0" borderId="0" xfId="0" applyNumberFormat="1" applyAlignment="1">
      <alignment horizontal="right"/>
    </xf>
    <xf numFmtId="43" fontId="0" fillId="0" borderId="0" xfId="0" applyNumberFormat="1" applyFill="1"/>
    <xf numFmtId="43" fontId="0" fillId="0" borderId="0" xfId="0" applyNumberFormat="1" applyFill="1" applyBorder="1"/>
    <xf numFmtId="43" fontId="0" fillId="0" borderId="1" xfId="0" applyNumberFormat="1" applyFill="1" applyBorder="1"/>
    <xf numFmtId="17" fontId="0" fillId="0" borderId="0" xfId="0" applyNumberFormat="1"/>
    <xf numFmtId="43" fontId="0" fillId="0" borderId="1" xfId="1" applyFont="1" applyFill="1" applyBorder="1"/>
    <xf numFmtId="4" fontId="0" fillId="0" borderId="0" xfId="0" applyNumberFormat="1"/>
    <xf numFmtId="43" fontId="0" fillId="2" borderId="0" xfId="1" applyFont="1" applyFill="1"/>
    <xf numFmtId="43" fontId="0" fillId="2" borderId="0" xfId="1" applyFont="1" applyFill="1" applyBorder="1"/>
    <xf numFmtId="0" fontId="0" fillId="2" borderId="0" xfId="0" applyFill="1" applyAlignment="1">
      <alignment horizontal="center"/>
    </xf>
    <xf numFmtId="0" fontId="0" fillId="0" borderId="0" xfId="0" applyNumberFormat="1" applyFill="1"/>
    <xf numFmtId="43" fontId="0" fillId="3" borderId="0" xfId="1" applyFont="1" applyFill="1"/>
    <xf numFmtId="166" fontId="0" fillId="0" borderId="0" xfId="0" applyNumberFormat="1"/>
    <xf numFmtId="43" fontId="0" fillId="3" borderId="0" xfId="0" applyNumberFormat="1" applyFill="1"/>
    <xf numFmtId="0" fontId="7" fillId="0" borderId="3" xfId="4" applyFont="1" applyBorder="1" applyAlignment="1">
      <alignment vertical="center"/>
    </xf>
    <xf numFmtId="0" fontId="7" fillId="0" borderId="4" xfId="4" applyFont="1" applyBorder="1" applyAlignment="1">
      <alignment vertical="center"/>
    </xf>
    <xf numFmtId="0" fontId="7" fillId="0" borderId="0" xfId="4" applyFont="1" applyBorder="1" applyAlignment="1">
      <alignment vertical="center"/>
    </xf>
    <xf numFmtId="4" fontId="0" fillId="0" borderId="0" xfId="0" applyNumberFormat="1" applyAlignment="1">
      <alignment horizontal="right"/>
    </xf>
    <xf numFmtId="0" fontId="3" fillId="0" borderId="0" xfId="2" applyFont="1" applyAlignment="1">
      <alignment horizontal="center"/>
    </xf>
  </cellXfs>
  <cellStyles count="8">
    <cellStyle name="Millares" xfId="1" builtinId="3"/>
    <cellStyle name="Millares 2" xfId="3"/>
    <cellStyle name="Millares 3" xfId="5"/>
    <cellStyle name="Normal" xfId="0" builtinId="0"/>
    <cellStyle name="Normal 2" xfId="2"/>
    <cellStyle name="Normal 2 2" xfId="6"/>
    <cellStyle name="Normal 3" xfId="4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tabSelected="1" topLeftCell="A13" workbookViewId="0">
      <selection activeCell="B24" sqref="B24"/>
    </sheetView>
  </sheetViews>
  <sheetFormatPr baseColWidth="10" defaultRowHeight="15" x14ac:dyDescent="0.25"/>
  <cols>
    <col min="1" max="1" width="35.7109375" customWidth="1"/>
    <col min="2" max="13" width="24.140625" customWidth="1"/>
    <col min="14" max="14" width="4.7109375" style="17" customWidth="1"/>
  </cols>
  <sheetData>
    <row r="1" spans="1:14" ht="15.75" x14ac:dyDescent="0.25">
      <c r="A1" s="37" t="s">
        <v>35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15.75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ht="15.75" x14ac:dyDescent="0.25">
      <c r="A3" s="37" t="s">
        <v>33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 ht="15.75" x14ac:dyDescent="0.25">
      <c r="A4" s="37" t="s">
        <v>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6" spans="1:14" s="9" customFormat="1" x14ac:dyDescent="0.25">
      <c r="A6" s="1"/>
      <c r="B6" s="10">
        <v>43132</v>
      </c>
      <c r="C6" s="10">
        <v>43160</v>
      </c>
      <c r="D6" s="10">
        <v>43191</v>
      </c>
      <c r="E6" s="10">
        <v>43221</v>
      </c>
      <c r="F6" s="10">
        <v>43252</v>
      </c>
      <c r="G6" s="10">
        <v>43282</v>
      </c>
      <c r="H6" s="10">
        <v>43313</v>
      </c>
      <c r="I6" s="10">
        <v>43344</v>
      </c>
      <c r="J6" s="10">
        <v>43374</v>
      </c>
      <c r="K6" s="10">
        <v>43405</v>
      </c>
      <c r="L6" s="10">
        <v>43435</v>
      </c>
      <c r="M6" s="10">
        <v>43466</v>
      </c>
      <c r="N6" s="17"/>
    </row>
    <row r="7" spans="1:14" x14ac:dyDescent="0.25">
      <c r="A7" s="2" t="s">
        <v>2</v>
      </c>
      <c r="B7" s="5">
        <f>Hoja4!B14*Hoja4!F16+Hoja4!B14</f>
        <v>1263002816.5715497</v>
      </c>
      <c r="C7" s="5">
        <f>B7*Hoja4!$F$16+B7</f>
        <v>1475823496.550874</v>
      </c>
      <c r="D7" s="5">
        <f>C7*Hoja4!$F$16+C7</f>
        <v>1724505253.9819574</v>
      </c>
      <c r="E7" s="5">
        <f>D7*Hoja4!$F$16+D7</f>
        <v>2015090814.0178535</v>
      </c>
      <c r="F7" s="5">
        <f>E7*Hoja4!$F$16+E7</f>
        <v>2354641123.512413</v>
      </c>
      <c r="G7" s="5">
        <f>F7*Hoja4!$F$16+F7</f>
        <v>2751406925.1703095</v>
      </c>
      <c r="H7" s="5">
        <f>G7*Hoja4!$F$16+G7</f>
        <v>3215029242.580554</v>
      </c>
      <c r="I7" s="5">
        <f>H7*Hoja4!$F$16+H7</f>
        <v>3756773647.7250729</v>
      </c>
      <c r="J7" s="5">
        <f>I7*Hoja4!$F$16+I7</f>
        <v>4389804003.4352608</v>
      </c>
      <c r="K7" s="5">
        <f>J7*Hoja4!$F$16+J7</f>
        <v>5129502332.4723024</v>
      </c>
      <c r="L7" s="5">
        <f>K7*Hoja4!$F$16+K7</f>
        <v>5993842585.7392216</v>
      </c>
      <c r="M7" s="5">
        <f>L7*Hoja4!$F$16+L7</f>
        <v>7003827391.8291531</v>
      </c>
      <c r="N7" s="17" t="s">
        <v>17</v>
      </c>
    </row>
    <row r="8" spans="1:14" x14ac:dyDescent="0.25">
      <c r="A8" s="3" t="s">
        <v>3</v>
      </c>
      <c r="B8" s="5">
        <f>B7*Hoja4!$C$35%</f>
        <v>1098368715.2373068</v>
      </c>
      <c r="C8" s="5">
        <f>C7*Hoja4!$C$35%</f>
        <v>1283447935.7883389</v>
      </c>
      <c r="D8" s="5">
        <f>D7*Hoja4!$C$35%</f>
        <v>1499713694.5251176</v>
      </c>
      <c r="E8" s="5">
        <f>E7*Hoja4!$C$35%</f>
        <v>1752421039.319118</v>
      </c>
      <c r="F8" s="5">
        <f>F7*Hoja4!$C$35%</f>
        <v>2047710513.1861317</v>
      </c>
      <c r="G8" s="5">
        <f>G7*Hoja4!$C$35%</f>
        <v>2392757363.5170441</v>
      </c>
      <c r="H8" s="5">
        <f>H7*Hoja4!$C$35%</f>
        <v>2795945893.6198864</v>
      </c>
      <c r="I8" s="5">
        <f>I7*Hoja4!$C$35%</f>
        <v>3267073193.1462808</v>
      </c>
      <c r="J8" s="5">
        <f>J7*Hoja4!$C$35%</f>
        <v>3817587197.8537478</v>
      </c>
      <c r="K8" s="5">
        <f>K7*Hoja4!$C$35%</f>
        <v>4460864863.3248701</v>
      </c>
      <c r="L8" s="5">
        <f>L7*Hoja4!$C$35%</f>
        <v>5212537211.9944839</v>
      </c>
      <c r="M8" s="5">
        <f>M7*Hoja4!$C$35%</f>
        <v>6090869151.8119392</v>
      </c>
      <c r="N8" s="17" t="s">
        <v>18</v>
      </c>
    </row>
    <row r="9" spans="1:14" x14ac:dyDescent="0.25">
      <c r="A9" s="2"/>
      <c r="B9" s="2"/>
      <c r="C9" s="5"/>
      <c r="D9" s="5"/>
    </row>
    <row r="10" spans="1:14" x14ac:dyDescent="0.25">
      <c r="A10" s="4" t="s">
        <v>4</v>
      </c>
      <c r="B10" s="2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4" x14ac:dyDescent="0.25">
      <c r="A11" s="3" t="s">
        <v>15</v>
      </c>
      <c r="B11" s="5">
        <f>B7-B7*Hoja4!$G$14%</f>
        <v>1262169885.3000093</v>
      </c>
      <c r="C11" s="5">
        <f>C7-C7*Hoja4!$G$14%</f>
        <v>1474850213.2569473</v>
      </c>
      <c r="D11" s="5">
        <f>D7-D7*Hoja4!$G$14%</f>
        <v>1723367968.8269832</v>
      </c>
      <c r="E11" s="5">
        <f>E7-E7*Hoja4!$G$14%</f>
        <v>2013761892.0772471</v>
      </c>
      <c r="F11" s="5">
        <f>F7-F7*Hoja4!$G$14%</f>
        <v>2353088273.2738423</v>
      </c>
      <c r="G11" s="5">
        <f>G7-G7*Hoja4!$G$14%</f>
        <v>2749592413.88131</v>
      </c>
      <c r="H11" s="5">
        <f>H7-H7*Hoja4!$G$14%</f>
        <v>3212908979.3792953</v>
      </c>
      <c r="I11" s="5">
        <f>I7-I7*Hoja4!$G$14%</f>
        <v>3754296112.2752442</v>
      </c>
      <c r="J11" s="5">
        <f>J7-J7*Hoja4!$G$14%</f>
        <v>4386908994.0319405</v>
      </c>
      <c r="K11" s="5">
        <f>K7-K7*Hoja4!$G$14%</f>
        <v>5126119503.1990042</v>
      </c>
      <c r="L11" s="5">
        <f>L7-L7*Hoja4!$G$14%</f>
        <v>5989889737.130455</v>
      </c>
      <c r="M11" s="5">
        <f>M7-M7*Hoja4!$G$14%</f>
        <v>6999208473.503253</v>
      </c>
    </row>
    <row r="12" spans="1:14" x14ac:dyDescent="0.25">
      <c r="A12" s="3" t="s">
        <v>16</v>
      </c>
      <c r="B12" s="7">
        <f>Hoja4!B14*Hoja4!G14%</f>
        <v>712818.67</v>
      </c>
      <c r="C12" s="7">
        <f>B7*Hoja4!$G$14%</f>
        <v>832931.27154047624</v>
      </c>
      <c r="D12" s="7">
        <f>C7*Hoja4!$G$14%</f>
        <v>973283.29392667918</v>
      </c>
      <c r="E12" s="7">
        <f>D7*Hoja4!$G$14%</f>
        <v>1137285.1549741984</v>
      </c>
      <c r="F12" s="7">
        <f>E7*Hoja4!$G$14%</f>
        <v>1328921.9406062507</v>
      </c>
      <c r="G12" s="7">
        <f>F7*Hoja4!$G$14%</f>
        <v>1552850.2385707735</v>
      </c>
      <c r="H12" s="7">
        <f>G7*Hoja4!$G$14%</f>
        <v>1814511.288999608</v>
      </c>
      <c r="I12" s="7">
        <f>H7*Hoja4!$G$14%</f>
        <v>2120263.2012584521</v>
      </c>
      <c r="J12" s="7">
        <f>I7*Hoja4!$G$14%</f>
        <v>2477535.4498286122</v>
      </c>
      <c r="K12" s="7">
        <f>J7*Hoja4!$G$14%</f>
        <v>2895009.4033204145</v>
      </c>
      <c r="L12" s="7">
        <f>K7*Hoja4!$G$14%</f>
        <v>3382829.2732979455</v>
      </c>
      <c r="M12" s="7">
        <f>L7*Hoja4!$G$14%</f>
        <v>3952848.6087666624</v>
      </c>
      <c r="N12" s="17" t="s">
        <v>19</v>
      </c>
    </row>
    <row r="13" spans="1:14" x14ac:dyDescent="0.25">
      <c r="A13" s="6" t="s">
        <v>5</v>
      </c>
      <c r="B13" s="5">
        <f>B11+B12</f>
        <v>1262882703.9700093</v>
      </c>
      <c r="C13" s="5">
        <f t="shared" ref="C13:M13" si="0">C11+C12</f>
        <v>1475683144.5284877</v>
      </c>
      <c r="D13" s="5">
        <f t="shared" si="0"/>
        <v>1724341252.1209099</v>
      </c>
      <c r="E13" s="5">
        <f t="shared" si="0"/>
        <v>2014899177.2322214</v>
      </c>
      <c r="F13" s="5">
        <f t="shared" si="0"/>
        <v>2354417195.2144485</v>
      </c>
      <c r="G13" s="5">
        <f t="shared" si="0"/>
        <v>2751145264.1198807</v>
      </c>
      <c r="H13" s="5">
        <f t="shared" si="0"/>
        <v>3214723490.6682949</v>
      </c>
      <c r="I13" s="5">
        <f t="shared" si="0"/>
        <v>3756416375.4765029</v>
      </c>
      <c r="J13" s="5">
        <f t="shared" si="0"/>
        <v>4389386529.4817686</v>
      </c>
      <c r="K13" s="5">
        <f t="shared" si="0"/>
        <v>5129014512.6023245</v>
      </c>
      <c r="L13" s="5">
        <f t="shared" si="0"/>
        <v>5993272566.4037533</v>
      </c>
      <c r="M13" s="5">
        <f t="shared" si="0"/>
        <v>7003161322.1120195</v>
      </c>
    </row>
    <row r="14" spans="1:14" x14ac:dyDescent="0.25">
      <c r="A14" s="2"/>
      <c r="B14" s="2"/>
      <c r="C14" s="5"/>
      <c r="D14" s="5"/>
    </row>
    <row r="15" spans="1:14" x14ac:dyDescent="0.25">
      <c r="A15" s="4" t="s">
        <v>6</v>
      </c>
      <c r="B15" s="2"/>
      <c r="C15" s="5"/>
      <c r="D15" s="5"/>
    </row>
    <row r="16" spans="1:14" x14ac:dyDescent="0.25">
      <c r="A16" s="3" t="str">
        <f>Hoja4!$B$38</f>
        <v>Gastos de personal</v>
      </c>
      <c r="B16" s="5">
        <f>Hoja4!B54*10.41%+Hoja4!B54</f>
        <v>21364257.939340502</v>
      </c>
      <c r="C16" s="5">
        <f t="shared" ref="C16:M16" si="1">B16*10.41%+B16</f>
        <v>23588277.19082585</v>
      </c>
      <c r="D16" s="5">
        <f t="shared" si="1"/>
        <v>26043816.846390821</v>
      </c>
      <c r="E16" s="5">
        <f t="shared" si="1"/>
        <v>28754978.180100106</v>
      </c>
      <c r="F16" s="5">
        <f t="shared" si="1"/>
        <v>31748371.408648528</v>
      </c>
      <c r="G16" s="5">
        <f t="shared" si="1"/>
        <v>35053376.872288838</v>
      </c>
      <c r="H16" s="5">
        <f t="shared" si="1"/>
        <v>38702433.404694103</v>
      </c>
      <c r="I16" s="5">
        <f t="shared" si="1"/>
        <v>42731356.722122759</v>
      </c>
      <c r="J16" s="5">
        <f t="shared" si="1"/>
        <v>47179690.956895739</v>
      </c>
      <c r="K16" s="5">
        <f t="shared" si="1"/>
        <v>52091096.785508588</v>
      </c>
      <c r="L16" s="5">
        <f t="shared" si="1"/>
        <v>57513779.960880034</v>
      </c>
      <c r="M16" s="5">
        <f t="shared" si="1"/>
        <v>63500964.454807647</v>
      </c>
      <c r="N16" s="17" t="s">
        <v>29</v>
      </c>
    </row>
    <row r="17" spans="1:14" x14ac:dyDescent="0.25">
      <c r="A17" s="3" t="str">
        <f>Hoja4!$C$38</f>
        <v>Bienes y servicios</v>
      </c>
      <c r="B17" s="5">
        <f>Hoja4!C54*10.41%+Hoja4!C54</f>
        <v>22529983.369168501</v>
      </c>
      <c r="C17" s="5">
        <f>B17*10.41%+B17</f>
        <v>24875354.637898944</v>
      </c>
      <c r="D17" s="5">
        <f t="shared" ref="D17:M20" si="2">C17*10.41%+C17</f>
        <v>27464879.055704225</v>
      </c>
      <c r="E17" s="5">
        <f t="shared" si="2"/>
        <v>30323972.965403035</v>
      </c>
      <c r="F17" s="5">
        <f t="shared" si="2"/>
        <v>33480698.551101491</v>
      </c>
      <c r="G17" s="5">
        <f t="shared" si="2"/>
        <v>36966039.270271152</v>
      </c>
      <c r="H17" s="5">
        <f t="shared" si="2"/>
        <v>40814203.95830638</v>
      </c>
      <c r="I17" s="5">
        <f t="shared" si="2"/>
        <v>45062962.590366073</v>
      </c>
      <c r="J17" s="5">
        <f t="shared" si="2"/>
        <v>49754016.996023178</v>
      </c>
      <c r="K17" s="5">
        <f t="shared" si="2"/>
        <v>54933410.165309191</v>
      </c>
      <c r="L17" s="5">
        <f t="shared" si="2"/>
        <v>60651978.163517877</v>
      </c>
      <c r="M17" s="5">
        <f t="shared" si="2"/>
        <v>66965849.090340085</v>
      </c>
      <c r="N17" s="17" t="s">
        <v>29</v>
      </c>
    </row>
    <row r="18" spans="1:14" x14ac:dyDescent="0.25">
      <c r="A18" s="3" t="str">
        <f>Hoja4!$D$38</f>
        <v>Depreciación y amortización</v>
      </c>
      <c r="B18" s="5">
        <f>Hoja4!D54*10.41%+Hoja4!D54</f>
        <v>6147681.2281885007</v>
      </c>
      <c r="C18" s="5">
        <f>B18*10.41%+B18</f>
        <v>6787654.8440429233</v>
      </c>
      <c r="D18" s="5">
        <f t="shared" si="2"/>
        <v>7494249.7133077914</v>
      </c>
      <c r="E18" s="5">
        <f t="shared" si="2"/>
        <v>8274401.1084631328</v>
      </c>
      <c r="F18" s="5">
        <f t="shared" si="2"/>
        <v>9135766.2638541441</v>
      </c>
      <c r="G18" s="5">
        <f t="shared" si="2"/>
        <v>10086799.531921361</v>
      </c>
      <c r="H18" s="5">
        <f t="shared" si="2"/>
        <v>11136835.363194374</v>
      </c>
      <c r="I18" s="5">
        <f t="shared" si="2"/>
        <v>12296179.924502909</v>
      </c>
      <c r="J18" s="5">
        <f t="shared" si="2"/>
        <v>13576212.254643662</v>
      </c>
      <c r="K18" s="5">
        <f t="shared" si="2"/>
        <v>14989495.950352067</v>
      </c>
      <c r="L18" s="5">
        <f t="shared" si="2"/>
        <v>16549902.478783717</v>
      </c>
      <c r="M18" s="5">
        <f t="shared" si="2"/>
        <v>18272747.326825101</v>
      </c>
      <c r="N18" s="17" t="s">
        <v>29</v>
      </c>
    </row>
    <row r="19" spans="1:14" x14ac:dyDescent="0.25">
      <c r="A19" s="3" t="str">
        <f>Hoja4!$E$38</f>
        <v>Tributos</v>
      </c>
      <c r="B19" s="5">
        <f>Hoja4!E54*10.41%+Hoja4!E54</f>
        <v>3684718.295926</v>
      </c>
      <c r="C19" s="5">
        <f>B19*10.41%+B19</f>
        <v>4068297.4705318967</v>
      </c>
      <c r="D19" s="5">
        <f t="shared" si="2"/>
        <v>4491807.2372142673</v>
      </c>
      <c r="E19" s="5">
        <f t="shared" si="2"/>
        <v>4959404.370608272</v>
      </c>
      <c r="F19" s="5">
        <f t="shared" si="2"/>
        <v>5475678.3655885933</v>
      </c>
      <c r="G19" s="5">
        <f t="shared" si="2"/>
        <v>6045696.4834463662</v>
      </c>
      <c r="H19" s="5">
        <f t="shared" si="2"/>
        <v>6675053.4873731332</v>
      </c>
      <c r="I19" s="5">
        <f t="shared" si="2"/>
        <v>7369926.5554086762</v>
      </c>
      <c r="J19" s="5">
        <f t="shared" si="2"/>
        <v>8137135.9098267192</v>
      </c>
      <c r="K19" s="5">
        <f t="shared" si="2"/>
        <v>8984211.7580396812</v>
      </c>
      <c r="L19" s="5">
        <f t="shared" si="2"/>
        <v>9919468.2020516116</v>
      </c>
      <c r="M19" s="5">
        <f t="shared" si="2"/>
        <v>10952084.841885185</v>
      </c>
      <c r="N19" s="17" t="s">
        <v>29</v>
      </c>
    </row>
    <row r="20" spans="1:14" x14ac:dyDescent="0.25">
      <c r="A20" s="3" t="str">
        <f>Hoja4!$F$38</f>
        <v>Otros gastos</v>
      </c>
      <c r="B20" s="5">
        <f>Hoja4!F54*10.41%+Hoja4!F54</f>
        <v>10238114.177541751</v>
      </c>
      <c r="C20" s="5">
        <f>B20*10.41%+B20</f>
        <v>11303901.863423849</v>
      </c>
      <c r="D20" s="5">
        <f t="shared" si="2"/>
        <v>12480638.047406271</v>
      </c>
      <c r="E20" s="5">
        <f t="shared" si="2"/>
        <v>13779872.468141263</v>
      </c>
      <c r="F20" s="5">
        <f t="shared" si="2"/>
        <v>15214357.192074768</v>
      </c>
      <c r="G20" s="5">
        <f t="shared" si="2"/>
        <v>16798171.775769752</v>
      </c>
      <c r="H20" s="5">
        <f t="shared" si="2"/>
        <v>18546861.457627382</v>
      </c>
      <c r="I20" s="5">
        <f t="shared" si="2"/>
        <v>20477589.735366393</v>
      </c>
      <c r="J20" s="5">
        <f t="shared" si="2"/>
        <v>22609306.826818034</v>
      </c>
      <c r="K20" s="5">
        <f t="shared" si="2"/>
        <v>24962935.667489789</v>
      </c>
      <c r="L20" s="5">
        <f t="shared" si="2"/>
        <v>27561577.270475477</v>
      </c>
      <c r="M20" s="5">
        <f t="shared" si="2"/>
        <v>30430737.464331973</v>
      </c>
      <c r="N20" s="17" t="s">
        <v>29</v>
      </c>
    </row>
    <row r="21" spans="1:14" x14ac:dyDescent="0.25">
      <c r="A21" s="6" t="s">
        <v>7</v>
      </c>
      <c r="B21" s="8">
        <f t="shared" ref="B21:M21" si="3">SUM(B16:B20)</f>
        <v>63964755.010165259</v>
      </c>
      <c r="C21" s="8">
        <f t="shared" si="3"/>
        <v>70623486.006723464</v>
      </c>
      <c r="D21" s="8">
        <f t="shared" si="3"/>
        <v>77975390.900023371</v>
      </c>
      <c r="E21" s="8">
        <f t="shared" si="3"/>
        <v>86092629.0927158</v>
      </c>
      <c r="F21" s="8">
        <f t="shared" si="3"/>
        <v>95054871.781267524</v>
      </c>
      <c r="G21" s="8">
        <f t="shared" si="3"/>
        <v>104950083.93369746</v>
      </c>
      <c r="H21" s="8">
        <f t="shared" si="3"/>
        <v>115875387.67119537</v>
      </c>
      <c r="I21" s="8">
        <f t="shared" si="3"/>
        <v>127938015.52776679</v>
      </c>
      <c r="J21" s="8">
        <f t="shared" si="3"/>
        <v>141256362.94420734</v>
      </c>
      <c r="K21" s="8">
        <f t="shared" si="3"/>
        <v>155961150.32669932</v>
      </c>
      <c r="L21" s="8">
        <f t="shared" si="3"/>
        <v>172196706.07570872</v>
      </c>
      <c r="M21" s="8">
        <f t="shared" si="3"/>
        <v>190122383.17818999</v>
      </c>
    </row>
    <row r="22" spans="1:14" x14ac:dyDescent="0.25">
      <c r="A22" s="2"/>
      <c r="B22" s="2"/>
      <c r="C22" s="2"/>
      <c r="D22" s="5"/>
    </row>
    <row r="23" spans="1:14" x14ac:dyDescent="0.25">
      <c r="A23" s="3" t="s">
        <v>8</v>
      </c>
      <c r="B23" s="5">
        <f t="shared" ref="B23:M23" si="4">B13+B21</f>
        <v>1326847458.9801745</v>
      </c>
      <c r="C23" s="5">
        <f t="shared" si="4"/>
        <v>1546306630.5352111</v>
      </c>
      <c r="D23" s="5">
        <f t="shared" si="4"/>
        <v>1802316643.0209334</v>
      </c>
      <c r="E23" s="5">
        <f t="shared" si="4"/>
        <v>2100991806.3249371</v>
      </c>
      <c r="F23" s="5">
        <f t="shared" si="4"/>
        <v>2449472066.9957161</v>
      </c>
      <c r="G23" s="5">
        <f t="shared" si="4"/>
        <v>2856095348.0535784</v>
      </c>
      <c r="H23" s="5">
        <f t="shared" si="4"/>
        <v>3330598878.3394904</v>
      </c>
      <c r="I23" s="5">
        <f t="shared" si="4"/>
        <v>3884354391.0042696</v>
      </c>
      <c r="J23" s="5">
        <f t="shared" si="4"/>
        <v>4530642892.4259758</v>
      </c>
      <c r="K23" s="5">
        <f t="shared" si="4"/>
        <v>5284975662.9290237</v>
      </c>
      <c r="L23" s="5">
        <f t="shared" si="4"/>
        <v>6165469272.4794617</v>
      </c>
      <c r="M23" s="5">
        <f t="shared" si="4"/>
        <v>7193283705.2902098</v>
      </c>
    </row>
    <row r="24" spans="1:14" x14ac:dyDescent="0.25">
      <c r="A24" s="2"/>
      <c r="B24" s="2"/>
      <c r="C24" s="2"/>
      <c r="D24" s="5"/>
    </row>
    <row r="25" spans="1:14" x14ac:dyDescent="0.25">
      <c r="A25" s="3" t="s">
        <v>10</v>
      </c>
      <c r="B25" s="18">
        <v>5954544841.1000004</v>
      </c>
      <c r="C25" s="7">
        <f>B27</f>
        <v>7281392300.0801754</v>
      </c>
      <c r="D25" s="7">
        <f>C27</f>
        <v>8827698930.615387</v>
      </c>
      <c r="E25" s="7">
        <f>D27</f>
        <v>10630015573.63632</v>
      </c>
      <c r="F25" s="7">
        <f>E27</f>
        <v>12731007379.961258</v>
      </c>
      <c r="G25" s="7">
        <f>F27</f>
        <v>15180479446.956974</v>
      </c>
      <c r="H25" s="7">
        <f t="shared" ref="H25:I25" si="5">G27</f>
        <v>18036574795.010551</v>
      </c>
      <c r="I25" s="7">
        <f t="shared" si="5"/>
        <v>21367173673.35004</v>
      </c>
      <c r="J25" s="7">
        <f>I27</f>
        <v>25251528064.354309</v>
      </c>
      <c r="K25" s="7">
        <f>J27</f>
        <v>29782170956.780285</v>
      </c>
      <c r="L25" s="7">
        <f>K27</f>
        <v>35067146619.709305</v>
      </c>
      <c r="M25" s="7">
        <f>L27</f>
        <v>41232615892.188766</v>
      </c>
    </row>
    <row r="26" spans="1:14" x14ac:dyDescent="0.25">
      <c r="A26" s="2"/>
      <c r="B26" s="2"/>
      <c r="C26" s="2"/>
      <c r="D26" s="5"/>
    </row>
    <row r="27" spans="1:14" x14ac:dyDescent="0.25">
      <c r="A27" s="3" t="s">
        <v>9</v>
      </c>
      <c r="B27" s="5">
        <f>B23+B25</f>
        <v>7281392300.0801754</v>
      </c>
      <c r="C27" s="5">
        <f t="shared" ref="C27:J27" si="6">C23+C25</f>
        <v>8827698930.615387</v>
      </c>
      <c r="D27" s="5">
        <f t="shared" si="6"/>
        <v>10630015573.63632</v>
      </c>
      <c r="E27" s="5">
        <f t="shared" si="6"/>
        <v>12731007379.961258</v>
      </c>
      <c r="F27" s="5">
        <f t="shared" si="6"/>
        <v>15180479446.956974</v>
      </c>
      <c r="G27" s="5">
        <f t="shared" si="6"/>
        <v>18036574795.010551</v>
      </c>
      <c r="H27" s="5">
        <f t="shared" si="6"/>
        <v>21367173673.35004</v>
      </c>
      <c r="I27" s="5">
        <f t="shared" si="6"/>
        <v>25251528064.354309</v>
      </c>
      <c r="J27" s="5">
        <f t="shared" si="6"/>
        <v>29782170956.780285</v>
      </c>
      <c r="K27" s="5">
        <f t="shared" ref="K27:M27" si="7">K23+K25</f>
        <v>35067146619.709305</v>
      </c>
      <c r="L27" s="5">
        <f t="shared" si="7"/>
        <v>41232615892.188766</v>
      </c>
      <c r="M27" s="5">
        <f t="shared" si="7"/>
        <v>48425899597.478973</v>
      </c>
    </row>
    <row r="31" spans="1:14" x14ac:dyDescent="0.25">
      <c r="A31" s="19" t="s">
        <v>17</v>
      </c>
      <c r="B31" t="s">
        <v>27</v>
      </c>
    </row>
    <row r="32" spans="1:14" x14ac:dyDescent="0.25">
      <c r="A32" s="19" t="s">
        <v>18</v>
      </c>
      <c r="B32" t="s">
        <v>26</v>
      </c>
    </row>
    <row r="33" spans="1:2" x14ac:dyDescent="0.25">
      <c r="A33" s="19" t="s">
        <v>19</v>
      </c>
      <c r="B33" t="s">
        <v>32</v>
      </c>
    </row>
    <row r="34" spans="1:2" x14ac:dyDescent="0.25">
      <c r="A34" s="19" t="s">
        <v>29</v>
      </c>
      <c r="B34" t="s">
        <v>28</v>
      </c>
    </row>
  </sheetData>
  <mergeCells count="4">
    <mergeCell ref="A1:N1"/>
    <mergeCell ref="A2:N2"/>
    <mergeCell ref="A3:N3"/>
    <mergeCell ref="A4:N4"/>
  </mergeCells>
  <pageMargins left="0.9055118110236221" right="0.11811023622047245" top="1.3779527559055118" bottom="0.74803149606299213" header="0.31496062992125984" footer="0.31496062992125984"/>
  <pageSetup scale="38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I34"/>
  <sheetViews>
    <sheetView workbookViewId="0">
      <selection activeCell="J35" sqref="J35"/>
    </sheetView>
  </sheetViews>
  <sheetFormatPr baseColWidth="10" defaultRowHeight="15" x14ac:dyDescent="0.25"/>
  <cols>
    <col min="1" max="1" width="6" customWidth="1"/>
    <col min="2" max="2" width="43.42578125" customWidth="1"/>
    <col min="3" max="8" width="26.140625" customWidth="1"/>
    <col min="9" max="9" width="4.7109375" style="17" customWidth="1"/>
  </cols>
  <sheetData>
    <row r="1" spans="2:9" ht="15.75" x14ac:dyDescent="0.25">
      <c r="B1" s="37" t="s">
        <v>35</v>
      </c>
      <c r="C1" s="37"/>
      <c r="D1" s="37"/>
      <c r="E1" s="37"/>
      <c r="F1" s="37"/>
      <c r="G1" s="37"/>
      <c r="H1" s="37"/>
      <c r="I1" s="37"/>
    </row>
    <row r="2" spans="2:9" ht="15.75" x14ac:dyDescent="0.25">
      <c r="B2" s="37" t="s">
        <v>0</v>
      </c>
      <c r="C2" s="37"/>
      <c r="D2" s="37"/>
      <c r="E2" s="37"/>
      <c r="F2" s="37"/>
      <c r="G2" s="37"/>
      <c r="H2" s="37"/>
      <c r="I2" s="37"/>
    </row>
    <row r="3" spans="2:9" ht="15.75" x14ac:dyDescent="0.25">
      <c r="B3" s="37" t="s">
        <v>34</v>
      </c>
      <c r="C3" s="37"/>
      <c r="D3" s="37"/>
      <c r="E3" s="37"/>
      <c r="F3" s="37"/>
      <c r="G3" s="37"/>
      <c r="H3" s="37"/>
      <c r="I3" s="37"/>
    </row>
    <row r="4" spans="2:9" ht="15.75" x14ac:dyDescent="0.25">
      <c r="B4" s="37" t="s">
        <v>1</v>
      </c>
      <c r="C4" s="37"/>
      <c r="D4" s="37"/>
      <c r="E4" s="37"/>
      <c r="F4" s="37"/>
      <c r="G4" s="37"/>
      <c r="H4" s="37"/>
      <c r="I4" s="37"/>
    </row>
    <row r="6" spans="2:9" s="9" customFormat="1" x14ac:dyDescent="0.25">
      <c r="B6" s="1"/>
      <c r="C6" s="10">
        <v>43497</v>
      </c>
      <c r="D6" s="10">
        <v>43525</v>
      </c>
      <c r="E6" s="10">
        <v>43556</v>
      </c>
      <c r="F6" s="10">
        <v>43586</v>
      </c>
      <c r="G6" s="10">
        <v>43617</v>
      </c>
      <c r="H6" s="10">
        <v>43647</v>
      </c>
      <c r="I6" s="17"/>
    </row>
    <row r="7" spans="2:9" x14ac:dyDescent="0.25">
      <c r="B7" s="2" t="s">
        <v>2</v>
      </c>
      <c r="C7" s="5">
        <f>año1!M7*Hoja4!F16+año1!M7</f>
        <v>8183998400.49963</v>
      </c>
      <c r="D7" s="5">
        <f>C7*Hoja4!$F$16+C7</f>
        <v>9563032620.9236069</v>
      </c>
      <c r="E7" s="5">
        <f>D7*Hoja4!$F$16+D7</f>
        <v>11174439245.157471</v>
      </c>
      <c r="F7" s="5">
        <f>E7*Hoja4!$F$16+E7</f>
        <v>13057373888.959461</v>
      </c>
      <c r="G7" s="5">
        <f>F7*Hoja4!$F$16+F7</f>
        <v>15257590035.2195</v>
      </c>
      <c r="H7" s="5">
        <f>G7*Hoja4!$F$16+G7</f>
        <v>17828550799.151596</v>
      </c>
      <c r="I7" s="17" t="s">
        <v>17</v>
      </c>
    </row>
    <row r="8" spans="2:9" x14ac:dyDescent="0.25">
      <c r="B8" s="3" t="s">
        <v>3</v>
      </c>
      <c r="C8" s="5">
        <f>C7*Hoja4!$C$35%</f>
        <v>7117203295.7629747</v>
      </c>
      <c r="D8" s="5">
        <f>D7*Hoja4!$C$35%</f>
        <v>8316478566.6345158</v>
      </c>
      <c r="E8" s="5">
        <f>E7*Hoja4!$C$35%</f>
        <v>9717836188.6144257</v>
      </c>
      <c r="F8" s="5">
        <f>F7*Hoja4!$C$35%</f>
        <v>11355327790.733465</v>
      </c>
      <c r="G8" s="5">
        <f>G7*Hoja4!$C$35%</f>
        <v>13268742828.375319</v>
      </c>
      <c r="H8" s="5">
        <f>H7*Hoja4!$C$35%</f>
        <v>15504575428.393633</v>
      </c>
      <c r="I8" s="17" t="s">
        <v>18</v>
      </c>
    </row>
    <row r="9" spans="2:9" x14ac:dyDescent="0.25">
      <c r="B9" s="2"/>
      <c r="C9" s="2"/>
      <c r="D9" s="5"/>
      <c r="E9" s="5"/>
    </row>
    <row r="10" spans="2:9" x14ac:dyDescent="0.25">
      <c r="B10" s="4" t="s">
        <v>4</v>
      </c>
      <c r="C10" s="2"/>
      <c r="D10" s="5"/>
      <c r="E10" s="5"/>
      <c r="F10" s="5"/>
      <c r="G10" s="5"/>
      <c r="H10" s="5"/>
    </row>
    <row r="11" spans="2:9" x14ac:dyDescent="0.25">
      <c r="B11" s="3" t="s">
        <v>15</v>
      </c>
      <c r="C11" s="5">
        <f>C7-C7*Hoja4!$G$14%</f>
        <v>8178601177.2277794</v>
      </c>
      <c r="D11" s="5">
        <f>D7-D7*Hoja4!$G$14%</f>
        <v>9556725945.4227943</v>
      </c>
      <c r="E11" s="5">
        <f>E7-E7*Hoja4!$G$14%</f>
        <v>11167069871.338902</v>
      </c>
      <c r="F11" s="5">
        <f>F7-F7*Hoja4!$G$14%</f>
        <v>13048762748.197453</v>
      </c>
      <c r="G11" s="5">
        <f>G7-G7*Hoja4!$G$14%</f>
        <v>15247527885.15781</v>
      </c>
      <c r="H11" s="5">
        <f>H7-H7*Hoja4!$G$14%</f>
        <v>17816793139.317413</v>
      </c>
    </row>
    <row r="12" spans="2:9" x14ac:dyDescent="0.25">
      <c r="B12" s="3" t="s">
        <v>16</v>
      </c>
      <c r="C12" s="7">
        <f>Hoja4!B14*Hoja4!G14%</f>
        <v>712818.67</v>
      </c>
      <c r="D12" s="7">
        <f>C7*Hoja4!$G$14%</f>
        <v>5397223.2718510423</v>
      </c>
      <c r="E12" s="7">
        <f>D7*Hoja4!$G$14%</f>
        <v>6306675.5008124821</v>
      </c>
      <c r="F12" s="7">
        <f>E7*Hoja4!$G$14%</f>
        <v>7369373.8185686274</v>
      </c>
      <c r="G12" s="7">
        <f>F7*Hoja4!$G$14%</f>
        <v>8611140.7620081846</v>
      </c>
      <c r="H12" s="7">
        <f>G7*Hoja4!$G$14%</f>
        <v>10062150.061688904</v>
      </c>
      <c r="I12" s="17" t="s">
        <v>19</v>
      </c>
    </row>
    <row r="13" spans="2:9" x14ac:dyDescent="0.25">
      <c r="B13" s="6" t="s">
        <v>5</v>
      </c>
      <c r="C13" s="5">
        <f>C11+C12</f>
        <v>8179313995.8977795</v>
      </c>
      <c r="D13" s="5">
        <f t="shared" ref="D13:H13" si="0">D11+D12</f>
        <v>9562123168.6946449</v>
      </c>
      <c r="E13" s="5">
        <f t="shared" si="0"/>
        <v>11173376546.839714</v>
      </c>
      <c r="F13" s="5">
        <f t="shared" si="0"/>
        <v>13056132122.016022</v>
      </c>
      <c r="G13" s="5">
        <f t="shared" si="0"/>
        <v>15256139025.919819</v>
      </c>
      <c r="H13" s="5">
        <f t="shared" si="0"/>
        <v>17826855289.379101</v>
      </c>
    </row>
    <row r="14" spans="2:9" x14ac:dyDescent="0.25">
      <c r="B14" s="2"/>
      <c r="C14" s="2"/>
      <c r="D14" s="5"/>
      <c r="E14" s="5"/>
    </row>
    <row r="15" spans="2:9" x14ac:dyDescent="0.25">
      <c r="B15" s="4" t="s">
        <v>6</v>
      </c>
      <c r="C15" s="2"/>
      <c r="D15" s="5"/>
      <c r="E15" s="5"/>
    </row>
    <row r="16" spans="2:9" x14ac:dyDescent="0.25">
      <c r="B16" s="3" t="str">
        <f>Hoja4!$B$38</f>
        <v>Gastos de personal</v>
      </c>
      <c r="C16" s="5">
        <f>Hoja4!B54*10.41%+Hoja4!B54</f>
        <v>21364257.939340502</v>
      </c>
      <c r="D16" s="5">
        <f t="shared" ref="D16:H20" si="1">C16*10.41%+C16</f>
        <v>23588277.19082585</v>
      </c>
      <c r="E16" s="5">
        <f t="shared" si="1"/>
        <v>26043816.846390821</v>
      </c>
      <c r="F16" s="5">
        <f t="shared" si="1"/>
        <v>28754978.180100106</v>
      </c>
      <c r="G16" s="5">
        <f t="shared" si="1"/>
        <v>31748371.408648528</v>
      </c>
      <c r="H16" s="5">
        <f>G16*10.41%+G16</f>
        <v>35053376.872288838</v>
      </c>
      <c r="I16" s="17" t="s">
        <v>29</v>
      </c>
    </row>
    <row r="17" spans="2:9" x14ac:dyDescent="0.25">
      <c r="B17" s="3" t="str">
        <f>Hoja4!$C$38</f>
        <v>Bienes y servicios</v>
      </c>
      <c r="C17" s="5">
        <f>Hoja4!C54*10.41%+Hoja4!C54</f>
        <v>22529983.369168501</v>
      </c>
      <c r="D17" s="5">
        <f>C17*10.41%+C17</f>
        <v>24875354.637898944</v>
      </c>
      <c r="E17" s="5">
        <f t="shared" si="1"/>
        <v>27464879.055704225</v>
      </c>
      <c r="F17" s="5">
        <f t="shared" si="1"/>
        <v>30323972.965403035</v>
      </c>
      <c r="G17" s="5">
        <f t="shared" si="1"/>
        <v>33480698.551101491</v>
      </c>
      <c r="H17" s="5">
        <f t="shared" si="1"/>
        <v>36966039.270271152</v>
      </c>
      <c r="I17" s="17" t="s">
        <v>29</v>
      </c>
    </row>
    <row r="18" spans="2:9" x14ac:dyDescent="0.25">
      <c r="B18" s="3" t="str">
        <f>Hoja4!$D$38</f>
        <v>Depreciación y amortización</v>
      </c>
      <c r="C18" s="5">
        <f>Hoja4!D54*10.41%+Hoja4!D54</f>
        <v>6147681.2281885007</v>
      </c>
      <c r="D18" s="5">
        <f>C18*10.41%+C18</f>
        <v>6787654.8440429233</v>
      </c>
      <c r="E18" s="5">
        <f t="shared" si="1"/>
        <v>7494249.7133077914</v>
      </c>
      <c r="F18" s="5">
        <f t="shared" si="1"/>
        <v>8274401.1084631328</v>
      </c>
      <c r="G18" s="5">
        <f t="shared" si="1"/>
        <v>9135766.2638541441</v>
      </c>
      <c r="H18" s="5">
        <f t="shared" si="1"/>
        <v>10086799.531921361</v>
      </c>
      <c r="I18" s="17" t="s">
        <v>29</v>
      </c>
    </row>
    <row r="19" spans="2:9" x14ac:dyDescent="0.25">
      <c r="B19" s="3" t="str">
        <f>Hoja4!$E$38</f>
        <v>Tributos</v>
      </c>
      <c r="C19" s="5">
        <f>Hoja4!E54*10.41%+Hoja4!E54</f>
        <v>3684718.295926</v>
      </c>
      <c r="D19" s="5">
        <f>C19*10.41%+C19</f>
        <v>4068297.4705318967</v>
      </c>
      <c r="E19" s="5">
        <f t="shared" si="1"/>
        <v>4491807.2372142673</v>
      </c>
      <c r="F19" s="5">
        <f t="shared" si="1"/>
        <v>4959404.370608272</v>
      </c>
      <c r="G19" s="5">
        <f t="shared" si="1"/>
        <v>5475678.3655885933</v>
      </c>
      <c r="H19" s="5">
        <f t="shared" si="1"/>
        <v>6045696.4834463662</v>
      </c>
      <c r="I19" s="17" t="s">
        <v>29</v>
      </c>
    </row>
    <row r="20" spans="2:9" x14ac:dyDescent="0.25">
      <c r="B20" s="3" t="str">
        <f>Hoja4!$F$38</f>
        <v>Otros gastos</v>
      </c>
      <c r="C20" s="5">
        <f>Hoja4!F54*10.41%+Hoja4!F54</f>
        <v>10238114.177541751</v>
      </c>
      <c r="D20" s="5">
        <f>C20*10.41%+C20</f>
        <v>11303901.863423849</v>
      </c>
      <c r="E20" s="5">
        <f t="shared" si="1"/>
        <v>12480638.047406271</v>
      </c>
      <c r="F20" s="5">
        <f t="shared" si="1"/>
        <v>13779872.468141263</v>
      </c>
      <c r="G20" s="5">
        <f t="shared" si="1"/>
        <v>15214357.192074768</v>
      </c>
      <c r="H20" s="5">
        <f t="shared" si="1"/>
        <v>16798171.775769752</v>
      </c>
      <c r="I20" s="17" t="s">
        <v>29</v>
      </c>
    </row>
    <row r="21" spans="2:9" x14ac:dyDescent="0.25">
      <c r="B21" s="6" t="s">
        <v>7</v>
      </c>
      <c r="C21" s="8">
        <f t="shared" ref="C21:H21" si="2">SUM(C16:C20)</f>
        <v>63964755.010165259</v>
      </c>
      <c r="D21" s="8">
        <f t="shared" si="2"/>
        <v>70623486.006723464</v>
      </c>
      <c r="E21" s="8">
        <f t="shared" si="2"/>
        <v>77975390.900023371</v>
      </c>
      <c r="F21" s="8">
        <f t="shared" si="2"/>
        <v>86092629.0927158</v>
      </c>
      <c r="G21" s="8">
        <f t="shared" si="2"/>
        <v>95054871.781267524</v>
      </c>
      <c r="H21" s="8">
        <f t="shared" si="2"/>
        <v>104950083.93369746</v>
      </c>
    </row>
    <row r="22" spans="2:9" x14ac:dyDescent="0.25">
      <c r="B22" s="2"/>
      <c r="C22" s="2"/>
      <c r="D22" s="2"/>
      <c r="E22" s="5"/>
    </row>
    <row r="23" spans="2:9" x14ac:dyDescent="0.25">
      <c r="B23" s="3" t="s">
        <v>8</v>
      </c>
      <c r="C23" s="5">
        <f t="shared" ref="C23:H23" si="3">C13+C21</f>
        <v>8243278750.9079447</v>
      </c>
      <c r="D23" s="5">
        <f t="shared" si="3"/>
        <v>9632746654.7013683</v>
      </c>
      <c r="E23" s="5">
        <f t="shared" si="3"/>
        <v>11251351937.739737</v>
      </c>
      <c r="F23" s="5">
        <f t="shared" si="3"/>
        <v>13142224751.108738</v>
      </c>
      <c r="G23" s="5">
        <f t="shared" si="3"/>
        <v>15351193897.701086</v>
      </c>
      <c r="H23" s="5">
        <f t="shared" si="3"/>
        <v>17931805373.312798</v>
      </c>
    </row>
    <row r="24" spans="2:9" x14ac:dyDescent="0.25">
      <c r="B24" s="2"/>
      <c r="C24" s="2"/>
      <c r="D24" s="2"/>
      <c r="E24" s="5"/>
    </row>
    <row r="25" spans="2:9" x14ac:dyDescent="0.25">
      <c r="B25" s="3" t="s">
        <v>10</v>
      </c>
      <c r="C25" s="18">
        <f>323624987+381925621.61-2964605.68+263875645.55+3548265.31</f>
        <v>970009913.78999996</v>
      </c>
      <c r="D25" s="7">
        <f t="shared" ref="D25:H25" si="4">C27</f>
        <v>9213288664.6979446</v>
      </c>
      <c r="E25" s="7">
        <f t="shared" si="4"/>
        <v>18846035319.399315</v>
      </c>
      <c r="F25" s="7">
        <f t="shared" si="4"/>
        <v>30097387257.139053</v>
      </c>
      <c r="G25" s="7">
        <f t="shared" si="4"/>
        <v>43239612008.247787</v>
      </c>
      <c r="H25" s="7">
        <f t="shared" si="4"/>
        <v>58590805905.948875</v>
      </c>
    </row>
    <row r="26" spans="2:9" x14ac:dyDescent="0.25">
      <c r="B26" s="2"/>
      <c r="C26" s="2"/>
      <c r="D26" s="2"/>
      <c r="E26" s="5"/>
    </row>
    <row r="27" spans="2:9" x14ac:dyDescent="0.25">
      <c r="B27" s="3" t="s">
        <v>9</v>
      </c>
      <c r="C27" s="5">
        <f>C23+C25</f>
        <v>9213288664.6979446</v>
      </c>
      <c r="D27" s="5">
        <f t="shared" ref="D27:H27" si="5">D23+D25</f>
        <v>18846035319.399315</v>
      </c>
      <c r="E27" s="5">
        <f t="shared" si="5"/>
        <v>30097387257.139053</v>
      </c>
      <c r="F27" s="5">
        <f t="shared" si="5"/>
        <v>43239612008.247787</v>
      </c>
      <c r="G27" s="5">
        <f t="shared" si="5"/>
        <v>58590805905.948875</v>
      </c>
      <c r="H27" s="5">
        <f t="shared" si="5"/>
        <v>76522611279.261673</v>
      </c>
    </row>
    <row r="31" spans="2:9" x14ac:dyDescent="0.25">
      <c r="B31" s="19" t="s">
        <v>17</v>
      </c>
      <c r="C31" t="s">
        <v>27</v>
      </c>
    </row>
    <row r="32" spans="2:9" x14ac:dyDescent="0.25">
      <c r="B32" s="19" t="s">
        <v>18</v>
      </c>
      <c r="C32" t="s">
        <v>26</v>
      </c>
    </row>
    <row r="33" spans="2:3" x14ac:dyDescent="0.25">
      <c r="B33" s="19" t="s">
        <v>19</v>
      </c>
      <c r="C33" t="s">
        <v>32</v>
      </c>
    </row>
    <row r="34" spans="2:3" x14ac:dyDescent="0.25">
      <c r="B34" s="19" t="s">
        <v>29</v>
      </c>
      <c r="C34" t="s">
        <v>28</v>
      </c>
    </row>
  </sheetData>
  <mergeCells count="4">
    <mergeCell ref="B1:I1"/>
    <mergeCell ref="B2:I2"/>
    <mergeCell ref="B3:I3"/>
    <mergeCell ref="B4:I4"/>
  </mergeCells>
  <pageMargins left="1" right="1" top="1" bottom="1" header="0.5" footer="0.5"/>
  <pageSetup paperSize="9" scale="58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opLeftCell="A13" zoomScale="150" zoomScaleNormal="150" workbookViewId="0">
      <selection activeCell="B16" sqref="B16"/>
    </sheetView>
  </sheetViews>
  <sheetFormatPr baseColWidth="10" defaultRowHeight="15" x14ac:dyDescent="0.25"/>
  <cols>
    <col min="2" max="2" width="17.7109375" customWidth="1"/>
    <col min="3" max="3" width="19.5703125" customWidth="1"/>
    <col min="4" max="4" width="20.28515625" customWidth="1"/>
    <col min="5" max="5" width="18" customWidth="1"/>
    <col min="6" max="6" width="20.28515625" customWidth="1"/>
  </cols>
  <sheetData>
    <row r="1" spans="1:8" x14ac:dyDescent="0.25">
      <c r="B1" s="12" t="s">
        <v>11</v>
      </c>
      <c r="C1" s="12" t="s">
        <v>12</v>
      </c>
      <c r="D1" s="12" t="s">
        <v>13</v>
      </c>
      <c r="E1" s="12"/>
    </row>
    <row r="2" spans="1:8" x14ac:dyDescent="0.25">
      <c r="A2" s="23">
        <v>42583</v>
      </c>
      <c r="B2" s="36">
        <v>208991669.22</v>
      </c>
      <c r="C2" s="26"/>
      <c r="D2" s="28"/>
      <c r="E2" s="12"/>
    </row>
    <row r="3" spans="1:8" x14ac:dyDescent="0.25">
      <c r="A3" s="23">
        <v>42614</v>
      </c>
      <c r="B3" s="11">
        <v>240938958.83000001</v>
      </c>
      <c r="C3" s="11">
        <f>B3-B2</f>
        <v>31947289.610000014</v>
      </c>
      <c r="D3" s="20">
        <f>(C3*100)/B2</f>
        <v>15.286393820975681</v>
      </c>
    </row>
    <row r="4" spans="1:8" x14ac:dyDescent="0.25">
      <c r="A4" s="23">
        <v>42644</v>
      </c>
      <c r="B4" s="11">
        <v>310203124.30000001</v>
      </c>
      <c r="C4" s="11">
        <f t="shared" ref="C4:C14" si="0">B4-B3</f>
        <v>69264165.469999999</v>
      </c>
      <c r="D4" s="29">
        <f>(C4*100)/B3</f>
        <v>28.747598896561563</v>
      </c>
      <c r="E4" s="20"/>
    </row>
    <row r="5" spans="1:8" x14ac:dyDescent="0.25">
      <c r="A5" s="23">
        <v>42675</v>
      </c>
      <c r="B5" s="11">
        <v>296562943.19999999</v>
      </c>
      <c r="C5" s="11">
        <f>B5-B4</f>
        <v>-13640181.100000024</v>
      </c>
      <c r="D5" s="29">
        <f>(C5*100)/B4</f>
        <v>-4.3971772143753434</v>
      </c>
      <c r="E5" s="20"/>
    </row>
    <row r="6" spans="1:8" x14ac:dyDescent="0.25">
      <c r="A6" s="23">
        <v>42705</v>
      </c>
      <c r="B6" s="11">
        <v>519267810.98000002</v>
      </c>
      <c r="C6" s="11">
        <f>B6-B5</f>
        <v>222704867.78000003</v>
      </c>
      <c r="D6" s="20">
        <f>(C6*100)/B5</f>
        <v>75.095312103713994</v>
      </c>
      <c r="E6" s="20"/>
    </row>
    <row r="7" spans="1:8" x14ac:dyDescent="0.25">
      <c r="A7" s="23">
        <v>42736</v>
      </c>
      <c r="B7" s="11">
        <v>432344888.31</v>
      </c>
      <c r="C7" s="11">
        <f t="shared" si="0"/>
        <v>-86922922.670000017</v>
      </c>
      <c r="D7" s="20">
        <f t="shared" ref="D7:D14" si="1">(C7*100)/B6</f>
        <v>-16.739516841213931</v>
      </c>
      <c r="E7" s="20"/>
    </row>
    <row r="8" spans="1:8" x14ac:dyDescent="0.25">
      <c r="A8" s="23">
        <v>42767</v>
      </c>
      <c r="B8" s="11">
        <v>432040083.86000001</v>
      </c>
      <c r="C8" s="11">
        <f t="shared" si="0"/>
        <v>-304804.44999998808</v>
      </c>
      <c r="D8" s="20">
        <f t="shared" si="1"/>
        <v>-7.0500301551255334E-2</v>
      </c>
      <c r="E8" s="20"/>
    </row>
    <row r="9" spans="1:8" x14ac:dyDescent="0.25">
      <c r="A9" s="23">
        <v>42795</v>
      </c>
      <c r="B9" s="11">
        <v>537463218.85000002</v>
      </c>
      <c r="C9" s="11">
        <f t="shared" si="0"/>
        <v>105423134.99000001</v>
      </c>
      <c r="D9" s="20">
        <f t="shared" si="1"/>
        <v>24.401239359115053</v>
      </c>
      <c r="E9" s="20"/>
    </row>
    <row r="10" spans="1:8" x14ac:dyDescent="0.25">
      <c r="A10" s="23">
        <v>42826</v>
      </c>
      <c r="B10" s="11">
        <v>681644185.24000001</v>
      </c>
      <c r="C10" s="11">
        <f t="shared" si="0"/>
        <v>144180966.38999999</v>
      </c>
      <c r="D10" s="20">
        <f t="shared" si="1"/>
        <v>26.826201558220355</v>
      </c>
      <c r="E10" s="20"/>
    </row>
    <row r="11" spans="1:8" x14ac:dyDescent="0.25">
      <c r="A11" s="23">
        <v>42856</v>
      </c>
      <c r="B11" s="11">
        <v>789691834.37</v>
      </c>
      <c r="C11" s="11">
        <f t="shared" si="0"/>
        <v>108047649.13</v>
      </c>
      <c r="D11" s="20">
        <f t="shared" si="1"/>
        <v>15.851033643301383</v>
      </c>
      <c r="E11" s="20"/>
    </row>
    <row r="12" spans="1:8" x14ac:dyDescent="0.25">
      <c r="A12" s="23">
        <v>42887</v>
      </c>
      <c r="B12" s="11">
        <v>772384382</v>
      </c>
      <c r="C12" s="11">
        <f t="shared" si="0"/>
        <v>-17307452.370000005</v>
      </c>
      <c r="D12" s="20">
        <f t="shared" si="1"/>
        <v>-2.1916716897304043</v>
      </c>
      <c r="E12" s="20"/>
    </row>
    <row r="13" spans="1:8" x14ac:dyDescent="0.25">
      <c r="A13" s="23">
        <v>42917</v>
      </c>
      <c r="B13" s="11">
        <v>1065599694.89</v>
      </c>
      <c r="C13" s="11">
        <f t="shared" si="0"/>
        <v>293215312.88999999</v>
      </c>
      <c r="D13" s="20">
        <f t="shared" si="1"/>
        <v>37.962356531699008</v>
      </c>
      <c r="E13" s="20"/>
    </row>
    <row r="14" spans="1:8" x14ac:dyDescent="0.25">
      <c r="A14" s="23">
        <v>42948</v>
      </c>
      <c r="B14" s="14">
        <v>1080871878.24</v>
      </c>
      <c r="C14" s="11">
        <f t="shared" si="0"/>
        <v>15272183.350000024</v>
      </c>
      <c r="D14" s="22">
        <f t="shared" si="1"/>
        <v>1.4332007998159708</v>
      </c>
      <c r="E14" s="21">
        <v>712818.67</v>
      </c>
      <c r="F14" t="s">
        <v>30</v>
      </c>
      <c r="G14">
        <f>E14*100/B14</f>
        <v>6.5948488840388134E-2</v>
      </c>
      <c r="H14" t="s">
        <v>31</v>
      </c>
    </row>
    <row r="15" spans="1:8" x14ac:dyDescent="0.25">
      <c r="B15" s="11">
        <f>SUM(B3:B14)</f>
        <v>7159013003.0699997</v>
      </c>
      <c r="C15" s="11"/>
      <c r="D15" s="11">
        <f>SUM(D3:D14)</f>
        <v>202.20447066653207</v>
      </c>
      <c r="F15" s="30">
        <f>D15/12</f>
        <v>16.85037255554434</v>
      </c>
    </row>
    <row r="16" spans="1:8" x14ac:dyDescent="0.25">
      <c r="B16" s="13"/>
      <c r="F16" s="31">
        <f>F15/100</f>
        <v>0.16850372555544341</v>
      </c>
    </row>
    <row r="18" spans="1:6" x14ac:dyDescent="0.25">
      <c r="B18" t="s">
        <v>14</v>
      </c>
    </row>
    <row r="19" spans="1:6" x14ac:dyDescent="0.25">
      <c r="A19" s="23">
        <v>42583</v>
      </c>
      <c r="B19" s="25">
        <v>195881500.56999999</v>
      </c>
      <c r="C19" s="26"/>
      <c r="D19" s="27"/>
    </row>
    <row r="20" spans="1:6" x14ac:dyDescent="0.25">
      <c r="A20" s="23">
        <v>42614</v>
      </c>
      <c r="B20" s="25">
        <v>184552494.75999999</v>
      </c>
      <c r="C20" s="11">
        <f>B20-B19</f>
        <v>-11329005.810000002</v>
      </c>
      <c r="D20" s="15">
        <f>(C20*100)/B19</f>
        <v>-5.7836017066611562</v>
      </c>
      <c r="E20" s="15"/>
    </row>
    <row r="21" spans="1:6" x14ac:dyDescent="0.25">
      <c r="A21" s="23">
        <v>42644</v>
      </c>
      <c r="B21" s="11">
        <v>315067606.68000001</v>
      </c>
      <c r="C21" s="11">
        <f>B21-B20</f>
        <v>130515111.92000002</v>
      </c>
      <c r="D21" s="15">
        <f>(C21*100)/B20</f>
        <v>70.719776554485207</v>
      </c>
      <c r="E21" s="15"/>
    </row>
    <row r="22" spans="1:6" x14ac:dyDescent="0.25">
      <c r="A22" s="23">
        <v>42675</v>
      </c>
      <c r="B22" s="11">
        <v>402419559.58999997</v>
      </c>
      <c r="C22" s="11">
        <f>B22-B21</f>
        <v>87351952.909999967</v>
      </c>
      <c r="D22" s="15">
        <f t="shared" ref="D22:D31" si="2">(C22*100)/B21</f>
        <v>27.724828277481222</v>
      </c>
      <c r="E22" s="15"/>
    </row>
    <row r="23" spans="1:6" x14ac:dyDescent="0.25">
      <c r="A23" s="23">
        <v>42705</v>
      </c>
      <c r="B23" s="11">
        <v>443982423.54000002</v>
      </c>
      <c r="C23" s="11">
        <f>B23-B22</f>
        <v>41562863.950000048</v>
      </c>
      <c r="D23" s="15">
        <f t="shared" si="2"/>
        <v>10.328241498088671</v>
      </c>
      <c r="E23" s="15"/>
    </row>
    <row r="24" spans="1:6" x14ac:dyDescent="0.25">
      <c r="A24" s="23">
        <v>42736</v>
      </c>
      <c r="B24" s="11">
        <v>300914800.44</v>
      </c>
      <c r="C24" s="11">
        <f>B24-B23</f>
        <v>-143067623.10000002</v>
      </c>
      <c r="D24" s="15">
        <f t="shared" si="2"/>
        <v>-32.223713263079325</v>
      </c>
      <c r="E24" s="15"/>
    </row>
    <row r="25" spans="1:6" x14ac:dyDescent="0.25">
      <c r="A25" s="23">
        <v>42767</v>
      </c>
      <c r="B25" s="11">
        <v>267942896.63999999</v>
      </c>
      <c r="C25" s="11">
        <f t="shared" ref="C25:C31" si="3">B25-B24</f>
        <v>-32971903.800000012</v>
      </c>
      <c r="D25" s="15">
        <f t="shared" si="2"/>
        <v>-10.957222360544657</v>
      </c>
      <c r="E25" s="15"/>
    </row>
    <row r="26" spans="1:6" x14ac:dyDescent="0.25">
      <c r="A26" s="23">
        <v>42795</v>
      </c>
      <c r="B26" s="11">
        <v>418564594.68000001</v>
      </c>
      <c r="C26" s="11">
        <f t="shared" si="3"/>
        <v>150621698.04000002</v>
      </c>
      <c r="D26" s="15">
        <f t="shared" si="2"/>
        <v>56.214103799277353</v>
      </c>
      <c r="E26" s="15"/>
    </row>
    <row r="27" spans="1:6" x14ac:dyDescent="0.25">
      <c r="A27" s="23">
        <v>42826</v>
      </c>
      <c r="B27" s="11">
        <v>321371546.42000002</v>
      </c>
      <c r="C27" s="11">
        <f t="shared" si="3"/>
        <v>-97193048.25999999</v>
      </c>
      <c r="D27" s="15">
        <f t="shared" si="2"/>
        <v>-23.220561293366391</v>
      </c>
      <c r="E27" s="15"/>
    </row>
    <row r="28" spans="1:6" x14ac:dyDescent="0.25">
      <c r="A28" s="23">
        <v>42856</v>
      </c>
      <c r="B28" s="11">
        <v>473175596.98000002</v>
      </c>
      <c r="C28" s="11">
        <f t="shared" si="3"/>
        <v>151804050.56</v>
      </c>
      <c r="D28" s="15">
        <f t="shared" si="2"/>
        <v>47.236307087873769</v>
      </c>
      <c r="E28" s="15"/>
    </row>
    <row r="29" spans="1:6" x14ac:dyDescent="0.25">
      <c r="A29" s="23">
        <v>42887</v>
      </c>
      <c r="B29" s="11">
        <v>774226575.04999995</v>
      </c>
      <c r="C29" s="11">
        <f t="shared" si="3"/>
        <v>301050978.06999993</v>
      </c>
      <c r="D29" s="15">
        <f t="shared" si="2"/>
        <v>63.623521582987429</v>
      </c>
      <c r="E29" s="15"/>
    </row>
    <row r="30" spans="1:6" x14ac:dyDescent="0.25">
      <c r="A30" s="23">
        <v>42917</v>
      </c>
      <c r="B30" s="11">
        <v>1107984857.26</v>
      </c>
      <c r="C30" s="11">
        <f t="shared" si="3"/>
        <v>333758282.21000004</v>
      </c>
      <c r="D30" s="15">
        <f t="shared" si="2"/>
        <v>43.108605796493841</v>
      </c>
      <c r="E30" s="15"/>
      <c r="F30" s="35"/>
    </row>
    <row r="31" spans="1:6" x14ac:dyDescent="0.25">
      <c r="A31" s="23">
        <v>42948</v>
      </c>
      <c r="B31" s="14">
        <v>1215623159.6500001</v>
      </c>
      <c r="C31" s="14">
        <f t="shared" si="3"/>
        <v>107638302.3900001</v>
      </c>
      <c r="D31" s="24">
        <f t="shared" si="2"/>
        <v>9.7147809994610501</v>
      </c>
      <c r="E31" s="15"/>
      <c r="F31" s="35"/>
    </row>
    <row r="32" spans="1:6" x14ac:dyDescent="0.25">
      <c r="B32" s="13">
        <f>SUM(B20:B31)</f>
        <v>6225826111.6900005</v>
      </c>
      <c r="D32" s="13">
        <f>SUM(D19:D31)</f>
        <v>256.48506697249701</v>
      </c>
      <c r="E32" s="13"/>
      <c r="F32" s="35"/>
    </row>
    <row r="33" spans="1:6" x14ac:dyDescent="0.25">
      <c r="B33" s="13"/>
      <c r="D33" s="13">
        <f>D32/12</f>
        <v>21.373755581041419</v>
      </c>
      <c r="E33" s="13"/>
      <c r="F33" s="35"/>
    </row>
    <row r="35" spans="1:6" x14ac:dyDescent="0.25">
      <c r="B35" s="13">
        <f>B15-B32</f>
        <v>933186891.37999916</v>
      </c>
      <c r="C35" s="32">
        <f>(B32*100)/B15</f>
        <v>86.964866651592601</v>
      </c>
      <c r="D35" s="13">
        <f>100-C35</f>
        <v>13.035133348407399</v>
      </c>
      <c r="E35" s="13"/>
    </row>
    <row r="38" spans="1:6" x14ac:dyDescent="0.25">
      <c r="B38" s="33" t="s">
        <v>20</v>
      </c>
      <c r="C38" s="34" t="s">
        <v>21</v>
      </c>
      <c r="D38" s="34" t="s">
        <v>22</v>
      </c>
      <c r="E38" s="34" t="s">
        <v>23</v>
      </c>
      <c r="F38" s="34" t="s">
        <v>24</v>
      </c>
    </row>
    <row r="39" spans="1:6" x14ac:dyDescent="0.25">
      <c r="A39" s="23">
        <v>42583</v>
      </c>
    </row>
    <row r="40" spans="1:6" x14ac:dyDescent="0.25">
      <c r="A40" s="23">
        <v>42614</v>
      </c>
    </row>
    <row r="41" spans="1:6" x14ac:dyDescent="0.25">
      <c r="A41" s="23">
        <v>42644</v>
      </c>
    </row>
    <row r="42" spans="1:6" x14ac:dyDescent="0.25">
      <c r="A42" s="23">
        <v>42675</v>
      </c>
    </row>
    <row r="43" spans="1:6" x14ac:dyDescent="0.25">
      <c r="A43" s="23">
        <v>42705</v>
      </c>
    </row>
    <row r="44" spans="1:6" x14ac:dyDescent="0.25">
      <c r="A44" s="23">
        <v>42736</v>
      </c>
    </row>
    <row r="45" spans="1:6" x14ac:dyDescent="0.25">
      <c r="A45" s="23">
        <v>42767</v>
      </c>
    </row>
    <row r="46" spans="1:6" x14ac:dyDescent="0.25">
      <c r="A46" s="23">
        <v>42795</v>
      </c>
    </row>
    <row r="47" spans="1:6" x14ac:dyDescent="0.25">
      <c r="A47" s="23">
        <v>42826</v>
      </c>
    </row>
    <row r="48" spans="1:6" x14ac:dyDescent="0.25">
      <c r="A48" s="23">
        <v>42856</v>
      </c>
    </row>
    <row r="49" spans="1:6" x14ac:dyDescent="0.25">
      <c r="A49" s="23">
        <v>42887</v>
      </c>
    </row>
    <row r="50" spans="1:6" x14ac:dyDescent="0.25">
      <c r="A50" s="23">
        <v>42917</v>
      </c>
    </row>
    <row r="51" spans="1:6" x14ac:dyDescent="0.25">
      <c r="A51" s="23">
        <v>42948</v>
      </c>
    </row>
    <row r="52" spans="1:6" x14ac:dyDescent="0.25">
      <c r="A52" s="23"/>
      <c r="B52" s="11">
        <f>48730488.85</f>
        <v>48730488.850000001</v>
      </c>
      <c r="C52" s="11">
        <v>108252378.38</v>
      </c>
      <c r="D52" s="11">
        <v>66816569.82</v>
      </c>
      <c r="E52" s="11">
        <v>23224205</v>
      </c>
      <c r="F52" s="11">
        <v>94450317.290000007</v>
      </c>
    </row>
    <row r="53" spans="1:6" x14ac:dyDescent="0.25">
      <c r="A53" s="23"/>
      <c r="B53" s="11">
        <v>183468673.61000001</v>
      </c>
      <c r="C53" s="11">
        <v>136616565.03999999</v>
      </c>
      <c r="D53" s="11">
        <v>0</v>
      </c>
      <c r="E53" s="11">
        <v>16823453.32</v>
      </c>
      <c r="F53" s="11">
        <v>16823453.32</v>
      </c>
    </row>
    <row r="54" spans="1:6" x14ac:dyDescent="0.25">
      <c r="A54" s="23"/>
      <c r="B54" s="11">
        <f>SUM(B52:B53)/12</f>
        <v>19349930.205000002</v>
      </c>
      <c r="C54" s="11">
        <f t="shared" ref="C54:F54" si="4">SUM(C52:C53)/12</f>
        <v>20405745.285</v>
      </c>
      <c r="D54" s="11">
        <f t="shared" si="4"/>
        <v>5568047.4850000003</v>
      </c>
      <c r="E54" s="11">
        <f t="shared" si="4"/>
        <v>3337304.86</v>
      </c>
      <c r="F54" s="11">
        <f t="shared" si="4"/>
        <v>9272814.2175000012</v>
      </c>
    </row>
    <row r="55" spans="1:6" x14ac:dyDescent="0.25">
      <c r="A55" s="23"/>
      <c r="B55" s="11"/>
      <c r="C55" s="11"/>
      <c r="D55" s="11"/>
      <c r="E55" s="11"/>
      <c r="F55" s="11"/>
    </row>
    <row r="56" spans="1:6" x14ac:dyDescent="0.25">
      <c r="B56" s="11">
        <f>SUM(B39:B51)</f>
        <v>0</v>
      </c>
      <c r="C56">
        <f>SUM(C39:C51)</f>
        <v>0</v>
      </c>
      <c r="D56">
        <f>SUM(D39:D51)</f>
        <v>0</v>
      </c>
      <c r="E56">
        <f>SUM(E39:E51)</f>
        <v>0</v>
      </c>
      <c r="F56">
        <f>SUM(F39:F51)</f>
        <v>0</v>
      </c>
    </row>
    <row r="57" spans="1:6" x14ac:dyDescent="0.25">
      <c r="B57" s="16">
        <f>B56*100/B15</f>
        <v>0</v>
      </c>
      <c r="C57" s="16">
        <f>C56*100/B15</f>
        <v>0</v>
      </c>
      <c r="D57" s="16">
        <f>D56*100/B15</f>
        <v>0</v>
      </c>
      <c r="E57" s="16">
        <f>E56*100/B15</f>
        <v>0</v>
      </c>
      <c r="F57" s="16">
        <f>F56*100/B15</f>
        <v>0</v>
      </c>
    </row>
    <row r="58" spans="1:6" x14ac:dyDescent="0.25">
      <c r="B58">
        <f>B57/100</f>
        <v>0</v>
      </c>
      <c r="C58">
        <f t="shared" ref="C58:F58" si="5">C57/100</f>
        <v>0</v>
      </c>
      <c r="D58">
        <f t="shared" si="5"/>
        <v>0</v>
      </c>
      <c r="E58">
        <f t="shared" si="5"/>
        <v>0</v>
      </c>
      <c r="F58">
        <f t="shared" si="5"/>
        <v>0</v>
      </c>
    </row>
    <row r="61" spans="1:6" x14ac:dyDescent="0.25">
      <c r="B61">
        <v>20.100000000000001</v>
      </c>
      <c r="C61" t="s">
        <v>25</v>
      </c>
    </row>
    <row r="62" spans="1:6" x14ac:dyDescent="0.25">
      <c r="B62">
        <f>B61/100</f>
        <v>0.20100000000000001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año1</vt:lpstr>
      <vt:lpstr>año 2</vt:lpstr>
      <vt:lpstr>Hoja4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Contaduria</cp:lastModifiedBy>
  <cp:lastPrinted>2018-02-08T18:12:54Z</cp:lastPrinted>
  <dcterms:created xsi:type="dcterms:W3CDTF">2013-04-11T20:52:54Z</dcterms:created>
  <dcterms:modified xsi:type="dcterms:W3CDTF">2018-02-13T20:07:22Z</dcterms:modified>
</cp:coreProperties>
</file>