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7755"/>
  </bookViews>
  <sheets>
    <sheet name="RELACION DE ING MES 07-2021 " sheetId="60" r:id="rId1"/>
    <sheet name="07-2021 " sheetId="61" r:id="rId2"/>
    <sheet name="RELACION DE ING MES 06-2021" sheetId="59" r:id="rId3"/>
    <sheet name="06-2021  " sheetId="58" r:id="rId4"/>
    <sheet name="RELACION DE ING MES 05-2021" sheetId="57" r:id="rId5"/>
    <sheet name="05-2021  " sheetId="56" r:id="rId6"/>
    <sheet name="RELACION DE ING MES 04-2021" sheetId="55" r:id="rId7"/>
    <sheet name="04-2021 " sheetId="54" r:id="rId8"/>
    <sheet name="RELACION DE ING MES 03-2021" sheetId="53" r:id="rId9"/>
    <sheet name="03-2021" sheetId="52" r:id="rId10"/>
    <sheet name="RELACION DE ING MES 02-2021" sheetId="51" r:id="rId11"/>
    <sheet name="02-2021" sheetId="50" r:id="rId12"/>
    <sheet name="RELACION DE ING MES 01-2021" sheetId="49" r:id="rId13"/>
    <sheet name="01-2021" sheetId="48" r:id="rId14"/>
    <sheet name="RELACION DE ING MES 12-2020" sheetId="46" r:id="rId15"/>
    <sheet name="12-2020" sheetId="47" r:id="rId16"/>
    <sheet name="RELACION DE ING MES 11-2020 " sheetId="45" r:id="rId17"/>
    <sheet name="11-2020 " sheetId="44" r:id="rId18"/>
    <sheet name="RELACION DE ING MES 10-2020" sheetId="43" r:id="rId19"/>
    <sheet name="10-2020 " sheetId="42" r:id="rId20"/>
    <sheet name="RELACION DE ING MES 09-2020" sheetId="41" r:id="rId21"/>
    <sheet name="09-2020  " sheetId="40" r:id="rId22"/>
    <sheet name="RELACION DE ING MES 08-2020" sheetId="38" r:id="rId23"/>
    <sheet name="08-2020 " sheetId="39" r:id="rId24"/>
    <sheet name="RELACION DE ING MES 07-2020" sheetId="36" r:id="rId25"/>
    <sheet name="07-2020 " sheetId="37" r:id="rId26"/>
    <sheet name="RELACION DE ING TRIM 02-2020" sheetId="34" r:id="rId27"/>
    <sheet name="02-2020" sheetId="35" r:id="rId28"/>
    <sheet name="RELACION DE ING TRIM 01-2020" sheetId="33" r:id="rId29"/>
    <sheet name="01-2020" sheetId="32" r:id="rId30"/>
    <sheet name="RELACION DE ING TRIM 04-2019" sheetId="30" r:id="rId31"/>
    <sheet name="04-2019" sheetId="31" r:id="rId32"/>
    <sheet name="RELACION DE ING TRIM 03-2019" sheetId="29" r:id="rId33"/>
    <sheet name="03-2019" sheetId="28" r:id="rId34"/>
    <sheet name="RELACION DE ING TRIM 02-2019" sheetId="26" r:id="rId35"/>
    <sheet name="02-2019" sheetId="27" r:id="rId36"/>
    <sheet name="RELACION DE ING TRIM 01-2019" sheetId="25" r:id="rId37"/>
    <sheet name="01-2019" sheetId="24" r:id="rId38"/>
    <sheet name="RELACION DE ING TRIM 04-2018" sheetId="23" r:id="rId39"/>
    <sheet name="04-2018 " sheetId="22" r:id="rId40"/>
    <sheet name="RELACION DE ING TRIM 03-2018" sheetId="20" r:id="rId41"/>
    <sheet name="03-2018" sheetId="21" r:id="rId42"/>
    <sheet name="RELACION DE ING TRIM 02-2018" sheetId="19" r:id="rId43"/>
    <sheet name="02-2018" sheetId="18" r:id="rId44"/>
    <sheet name="RELACION DE ING TRIM 01-2018" sheetId="17" r:id="rId45"/>
    <sheet name="01-2018" sheetId="16" r:id="rId46"/>
    <sheet name="RELACION DE ING 2017" sheetId="14" r:id="rId47"/>
    <sheet name="RELACION DE ING 2016 " sheetId="13" r:id="rId48"/>
    <sheet name="RELACION DE ING 2015" sheetId="11" r:id="rId49"/>
    <sheet name="RELACION DE ING 2014" sheetId="10" r:id="rId50"/>
    <sheet name="RELACION DE ING 2013" sheetId="9" r:id="rId51"/>
    <sheet name="RELACION DE ING 2012" sheetId="8" r:id="rId52"/>
    <sheet name="RELACION DE ING 2011" sheetId="6" r:id="rId53"/>
  </sheets>
  <externalReferences>
    <externalReference r:id="rId54"/>
    <externalReference r:id="rId55"/>
  </externalReferences>
  <calcPr calcId="145621"/>
</workbook>
</file>

<file path=xl/calcChain.xml><?xml version="1.0" encoding="utf-8"?>
<calcChain xmlns="http://schemas.openxmlformats.org/spreadsheetml/2006/main">
  <c r="F19" i="60" l="1"/>
  <c r="F15" i="60" s="1"/>
  <c r="E19" i="60"/>
  <c r="E20" i="60" s="1"/>
  <c r="E23" i="60" s="1"/>
  <c r="D19" i="60"/>
  <c r="F13" i="60" s="1"/>
  <c r="C19" i="60"/>
  <c r="B19" i="60"/>
  <c r="F11" i="61"/>
  <c r="F9" i="61" s="1"/>
  <c r="E11" i="61"/>
  <c r="F10" i="61"/>
  <c r="F8" i="61"/>
  <c r="F7" i="61"/>
  <c r="F6" i="61"/>
  <c r="F5" i="61"/>
  <c r="F4" i="61"/>
  <c r="C20" i="60"/>
  <c r="C23" i="60" s="1"/>
  <c r="G19" i="60"/>
  <c r="G20" i="60" s="1"/>
  <c r="F14" i="60"/>
  <c r="F12" i="60"/>
  <c r="B20" i="60" l="1"/>
  <c r="B23" i="60" s="1"/>
  <c r="D20" i="60"/>
  <c r="D23" i="60" s="1"/>
  <c r="F20" i="60"/>
  <c r="F23" i="60" s="1"/>
  <c r="F11" i="60"/>
  <c r="F11" i="58"/>
  <c r="G23" i="60" l="1"/>
  <c r="E11" i="58"/>
  <c r="F10" i="58"/>
  <c r="F19" i="59" s="1"/>
  <c r="F15" i="59" s="1"/>
  <c r="F9" i="58"/>
  <c r="E19" i="59" s="1"/>
  <c r="F8" i="58"/>
  <c r="F7" i="58"/>
  <c r="D19" i="59" s="1"/>
  <c r="D20" i="59" s="1"/>
  <c r="D23" i="59" s="1"/>
  <c r="F6" i="58"/>
  <c r="F5" i="58"/>
  <c r="C19" i="59" s="1"/>
  <c r="C20" i="59" s="1"/>
  <c r="C23" i="59" s="1"/>
  <c r="F4" i="58"/>
  <c r="B19" i="59" s="1"/>
  <c r="F11" i="59" s="1"/>
  <c r="G25" i="60" l="1"/>
  <c r="G27" i="60" s="1"/>
  <c r="F12" i="59"/>
  <c r="F13" i="59"/>
  <c r="G19" i="59"/>
  <c r="G20" i="59" s="1"/>
  <c r="F14" i="59"/>
  <c r="B20" i="59"/>
  <c r="B23" i="59" s="1"/>
  <c r="F20" i="59"/>
  <c r="F23" i="59" s="1"/>
  <c r="G23" i="59" s="1"/>
  <c r="G25" i="59" s="1"/>
  <c r="G27" i="59" s="1"/>
  <c r="E20" i="59"/>
  <c r="E23" i="59" s="1"/>
  <c r="F11" i="56"/>
  <c r="E11" i="56" l="1"/>
  <c r="F10" i="56"/>
  <c r="F19" i="57" s="1"/>
  <c r="F23" i="57" s="1"/>
  <c r="F9" i="56"/>
  <c r="F8" i="56"/>
  <c r="E19" i="57" s="1"/>
  <c r="E23" i="57" s="1"/>
  <c r="F7" i="56"/>
  <c r="D19" i="57" s="1"/>
  <c r="F6" i="56"/>
  <c r="F5" i="56"/>
  <c r="F4" i="56"/>
  <c r="B19" i="57" s="1"/>
  <c r="C19" i="57" l="1"/>
  <c r="F11" i="54"/>
  <c r="F9" i="54" s="1"/>
  <c r="E11" i="54"/>
  <c r="F6" i="54" l="1"/>
  <c r="F10" i="54"/>
  <c r="F4" i="54"/>
  <c r="F8" i="54"/>
  <c r="E19" i="55" s="1"/>
  <c r="F5" i="54"/>
  <c r="F7" i="54"/>
  <c r="F23" i="53"/>
  <c r="E23" i="53"/>
  <c r="F19" i="53"/>
  <c r="E19" i="53"/>
  <c r="D19" i="53"/>
  <c r="C19" i="53"/>
  <c r="B19" i="53"/>
  <c r="D19" i="55" l="1"/>
  <c r="E20" i="57"/>
  <c r="F14" i="57"/>
  <c r="F19" i="55"/>
  <c r="C19" i="55"/>
  <c r="F12" i="55" s="1"/>
  <c r="C23" i="55" s="1"/>
  <c r="B19" i="55"/>
  <c r="C20" i="55"/>
  <c r="F14" i="55"/>
  <c r="E23" i="55" s="1"/>
  <c r="E20" i="55"/>
  <c r="F11" i="52"/>
  <c r="F20" i="53"/>
  <c r="E20" i="53"/>
  <c r="D20" i="53"/>
  <c r="C20" i="53"/>
  <c r="B20" i="53"/>
  <c r="F15" i="53"/>
  <c r="F14" i="53"/>
  <c r="F13" i="53"/>
  <c r="D23" i="53" s="1"/>
  <c r="F12" i="53"/>
  <c r="C23" i="53" s="1"/>
  <c r="F11" i="53"/>
  <c r="B23" i="53" s="1"/>
  <c r="G23" i="53" s="1"/>
  <c r="E11" i="52"/>
  <c r="F10" i="52"/>
  <c r="F9" i="52"/>
  <c r="F8" i="52"/>
  <c r="F7" i="52"/>
  <c r="F6" i="52"/>
  <c r="F5" i="52"/>
  <c r="F4" i="52"/>
  <c r="G19" i="57" l="1"/>
  <c r="G20" i="57" s="1"/>
  <c r="B20" i="57"/>
  <c r="F11" i="57"/>
  <c r="B23" i="57" s="1"/>
  <c r="C20" i="57"/>
  <c r="F12" i="57"/>
  <c r="C23" i="57" s="1"/>
  <c r="F15" i="57"/>
  <c r="F20" i="57"/>
  <c r="F13" i="57"/>
  <c r="D23" i="57" s="1"/>
  <c r="D20" i="57"/>
  <c r="G19" i="55"/>
  <c r="G20" i="55" s="1"/>
  <c r="F11" i="55"/>
  <c r="B23" i="55" s="1"/>
  <c r="B20" i="55"/>
  <c r="F15" i="55"/>
  <c r="F23" i="55" s="1"/>
  <c r="F20" i="55"/>
  <c r="F13" i="55"/>
  <c r="D23" i="55" s="1"/>
  <c r="D20" i="55"/>
  <c r="G23" i="55"/>
  <c r="G25" i="55" s="1"/>
  <c r="G27" i="55" s="1"/>
  <c r="G25" i="53"/>
  <c r="G27" i="53" s="1"/>
  <c r="G19" i="53"/>
  <c r="G20" i="53" s="1"/>
  <c r="G25" i="51"/>
  <c r="E11" i="50"/>
  <c r="F10" i="50"/>
  <c r="F19" i="51" s="1"/>
  <c r="F15" i="51" s="1"/>
  <c r="F9" i="50"/>
  <c r="E19" i="51" s="1"/>
  <c r="F8" i="50"/>
  <c r="F7" i="50"/>
  <c r="D19" i="51" s="1"/>
  <c r="F13" i="51" s="1"/>
  <c r="D23" i="51" s="1"/>
  <c r="F6" i="50"/>
  <c r="F5" i="50"/>
  <c r="C19" i="51" s="1"/>
  <c r="F4" i="50"/>
  <c r="B19" i="51" s="1"/>
  <c r="G23" i="57" l="1"/>
  <c r="G25" i="57" s="1"/>
  <c r="G27" i="57" s="1"/>
  <c r="F14" i="51"/>
  <c r="E20" i="51"/>
  <c r="C20" i="51"/>
  <c r="F12" i="51"/>
  <c r="C23" i="51" s="1"/>
  <c r="G19" i="51"/>
  <c r="G20" i="51" s="1"/>
  <c r="B20" i="51"/>
  <c r="D20" i="51"/>
  <c r="F20" i="51"/>
  <c r="F11" i="51"/>
  <c r="B23" i="51" s="1"/>
  <c r="E11" i="48"/>
  <c r="F10" i="48"/>
  <c r="F19" i="49" s="1"/>
  <c r="F20" i="49" s="1"/>
  <c r="F9" i="48"/>
  <c r="F8" i="48"/>
  <c r="F7" i="48"/>
  <c r="D19" i="49" s="1"/>
  <c r="F13" i="49" s="1"/>
  <c r="F6" i="48"/>
  <c r="F5" i="48"/>
  <c r="C19" i="49" s="1"/>
  <c r="C20" i="49" s="1"/>
  <c r="F4" i="48"/>
  <c r="B19" i="49" s="1"/>
  <c r="F11" i="49" s="1"/>
  <c r="G23" i="51" l="1"/>
  <c r="E19" i="49"/>
  <c r="E20" i="49" s="1"/>
  <c r="F15" i="49"/>
  <c r="D20" i="49"/>
  <c r="F12" i="49"/>
  <c r="B20" i="49"/>
  <c r="E11" i="47"/>
  <c r="G19" i="49" l="1"/>
  <c r="G20" i="49" s="1"/>
  <c r="G27" i="51"/>
  <c r="F14" i="49"/>
  <c r="F10" i="47"/>
  <c r="F19" i="46" s="1"/>
  <c r="F9" i="47"/>
  <c r="F8" i="47"/>
  <c r="F7" i="47"/>
  <c r="D19" i="46" s="1"/>
  <c r="F6" i="47"/>
  <c r="F5" i="47"/>
  <c r="F4" i="47"/>
  <c r="B19" i="46" s="1"/>
  <c r="F11" i="46" s="1"/>
  <c r="E19" i="46" l="1"/>
  <c r="C19" i="46"/>
  <c r="F12" i="46" s="1"/>
  <c r="F13" i="46"/>
  <c r="D20" i="46"/>
  <c r="F14" i="46"/>
  <c r="E20" i="46"/>
  <c r="F15" i="46"/>
  <c r="F20" i="46"/>
  <c r="B20" i="46"/>
  <c r="C20" i="46" l="1"/>
  <c r="G19" i="46"/>
  <c r="G20" i="46" s="1"/>
  <c r="F10" i="44"/>
  <c r="F19" i="45" s="1"/>
  <c r="F20" i="45" s="1"/>
  <c r="F9" i="44"/>
  <c r="F8" i="44"/>
  <c r="E19" i="45" s="1"/>
  <c r="E20" i="45" s="1"/>
  <c r="F7" i="44"/>
  <c r="D19" i="45" s="1"/>
  <c r="D20" i="45" s="1"/>
  <c r="F6" i="44"/>
  <c r="F5" i="44"/>
  <c r="F4" i="44"/>
  <c r="B19" i="45" s="1"/>
  <c r="C19" i="45" l="1"/>
  <c r="C20" i="45" s="1"/>
  <c r="B20" i="45"/>
  <c r="G19" i="45" l="1"/>
  <c r="G20" i="45" s="1"/>
  <c r="F10" i="42"/>
  <c r="F19" i="43" s="1"/>
  <c r="F20" i="43" s="1"/>
  <c r="F9" i="42"/>
  <c r="F8" i="42"/>
  <c r="E19" i="43" s="1"/>
  <c r="E20" i="43" s="1"/>
  <c r="F7" i="42"/>
  <c r="D19" i="43" s="1"/>
  <c r="D20" i="43" s="1"/>
  <c r="F6" i="42"/>
  <c r="F5" i="42"/>
  <c r="F4" i="42"/>
  <c r="B19" i="43" s="1"/>
  <c r="C19" i="43" l="1"/>
  <c r="C20" i="43" s="1"/>
  <c r="B20" i="43"/>
  <c r="F10" i="40"/>
  <c r="F19" i="41" s="1"/>
  <c r="F20" i="41" s="1"/>
  <c r="F9" i="40"/>
  <c r="F8" i="40"/>
  <c r="E19" i="41" s="1"/>
  <c r="E20" i="41" s="1"/>
  <c r="F7" i="40"/>
  <c r="D19" i="41" s="1"/>
  <c r="D20" i="41" s="1"/>
  <c r="F6" i="40"/>
  <c r="F5" i="40"/>
  <c r="C19" i="41" s="1"/>
  <c r="C20" i="41" s="1"/>
  <c r="F4" i="40"/>
  <c r="B19" i="41" s="1"/>
  <c r="G19" i="41" l="1"/>
  <c r="G20" i="41" s="1"/>
  <c r="G19" i="43"/>
  <c r="G20" i="43" s="1"/>
  <c r="B20" i="41"/>
  <c r="F10" i="39"/>
  <c r="F19" i="38" s="1"/>
  <c r="F20" i="38" s="1"/>
  <c r="F9" i="39"/>
  <c r="F8" i="39"/>
  <c r="E19" i="38" s="1"/>
  <c r="E20" i="38" s="1"/>
  <c r="F6" i="39"/>
  <c r="F5" i="39"/>
  <c r="C19" i="38" s="1"/>
  <c r="C20" i="38" s="1"/>
  <c r="F7" i="39"/>
  <c r="D19" i="38" s="1"/>
  <c r="D20" i="38" s="1"/>
  <c r="F4" i="39"/>
  <c r="B19" i="38" s="1"/>
  <c r="G19" i="38" l="1"/>
  <c r="G20" i="38" s="1"/>
  <c r="B20" i="38"/>
  <c r="F10" i="37"/>
  <c r="F9" i="37"/>
  <c r="F19" i="36" s="1"/>
  <c r="F20" i="36" s="1"/>
  <c r="F8" i="37"/>
  <c r="F7" i="37"/>
  <c r="D19" i="36" s="1"/>
  <c r="D20" i="36" s="1"/>
  <c r="F6" i="37"/>
  <c r="E19" i="36" s="1"/>
  <c r="E20" i="36" s="1"/>
  <c r="F5" i="37"/>
  <c r="C19" i="36" s="1"/>
  <c r="C20" i="36" s="1"/>
  <c r="F4" i="37"/>
  <c r="B19" i="36" s="1"/>
  <c r="G19" i="36" l="1"/>
  <c r="G20" i="36" s="1"/>
  <c r="B20" i="36"/>
  <c r="F36" i="35"/>
  <c r="F35" i="35"/>
  <c r="F21" i="34" s="1"/>
  <c r="F34" i="35"/>
  <c r="F33" i="35"/>
  <c r="D21" i="34" s="1"/>
  <c r="F32" i="35"/>
  <c r="E21" i="34" s="1"/>
  <c r="F31" i="35"/>
  <c r="C21" i="34" s="1"/>
  <c r="F30" i="35"/>
  <c r="B21" i="34" s="1"/>
  <c r="F23" i="35"/>
  <c r="F22" i="35"/>
  <c r="F20" i="34" s="1"/>
  <c r="F21" i="35"/>
  <c r="F20" i="35"/>
  <c r="D20" i="34" s="1"/>
  <c r="F19" i="35"/>
  <c r="E20" i="34" s="1"/>
  <c r="F18" i="35"/>
  <c r="C20" i="34" s="1"/>
  <c r="F17" i="35"/>
  <c r="B20" i="34" s="1"/>
  <c r="F10" i="35"/>
  <c r="F9" i="35"/>
  <c r="F19" i="34" s="1"/>
  <c r="F8" i="35"/>
  <c r="F7" i="35"/>
  <c r="D19" i="34" s="1"/>
  <c r="D22" i="34" s="1"/>
  <c r="F6" i="35"/>
  <c r="E19" i="34" s="1"/>
  <c r="F5" i="35"/>
  <c r="C19" i="34" s="1"/>
  <c r="C22" i="34" s="1"/>
  <c r="F4" i="35"/>
  <c r="B19" i="34" s="1"/>
  <c r="G19" i="34" l="1"/>
  <c r="F22" i="34"/>
  <c r="E22" i="34"/>
  <c r="G21" i="34"/>
  <c r="G20" i="34"/>
  <c r="G22" i="34"/>
  <c r="B22" i="34"/>
  <c r="F36" i="32"/>
  <c r="F35" i="32"/>
  <c r="F21" i="33" s="1"/>
  <c r="F34" i="32"/>
  <c r="F33" i="32"/>
  <c r="D21" i="33" s="1"/>
  <c r="F32" i="32"/>
  <c r="E21" i="33" s="1"/>
  <c r="F31" i="32"/>
  <c r="C21" i="33" s="1"/>
  <c r="F30" i="32"/>
  <c r="B21" i="33" s="1"/>
  <c r="F23" i="32"/>
  <c r="F22" i="32"/>
  <c r="F20" i="33" s="1"/>
  <c r="F21" i="32"/>
  <c r="F20" i="32"/>
  <c r="D20" i="33" s="1"/>
  <c r="F19" i="32"/>
  <c r="E20" i="33" s="1"/>
  <c r="F18" i="32"/>
  <c r="C20" i="33" s="1"/>
  <c r="F17" i="32"/>
  <c r="B20" i="33" s="1"/>
  <c r="F10" i="32"/>
  <c r="F9" i="32"/>
  <c r="F19" i="33" s="1"/>
  <c r="F22" i="33" s="1"/>
  <c r="F8" i="32"/>
  <c r="F7" i="32"/>
  <c r="D19" i="33" s="1"/>
  <c r="D22" i="33" s="1"/>
  <c r="F6" i="32"/>
  <c r="E19" i="33" s="1"/>
  <c r="F5" i="32"/>
  <c r="C19" i="33" s="1"/>
  <c r="C22" i="33" s="1"/>
  <c r="F4" i="32"/>
  <c r="B19" i="33" s="1"/>
  <c r="E22" i="33" l="1"/>
  <c r="G21" i="33"/>
  <c r="G20" i="33"/>
  <c r="G19" i="33"/>
  <c r="G22" i="33" s="1"/>
  <c r="B22" i="33"/>
  <c r="F36" i="31"/>
  <c r="F35" i="31"/>
  <c r="F21" i="30" s="1"/>
  <c r="F34" i="31"/>
  <c r="F33" i="31"/>
  <c r="D21" i="30" s="1"/>
  <c r="F32" i="31"/>
  <c r="E21" i="30" s="1"/>
  <c r="F31" i="31"/>
  <c r="C21" i="30" s="1"/>
  <c r="F30" i="31"/>
  <c r="B21" i="30" s="1"/>
  <c r="G21" i="30" s="1"/>
  <c r="F23" i="31"/>
  <c r="F22" i="31"/>
  <c r="F20" i="30" s="1"/>
  <c r="F21" i="31"/>
  <c r="F20" i="31"/>
  <c r="D20" i="30" s="1"/>
  <c r="F19" i="31"/>
  <c r="E20" i="30" s="1"/>
  <c r="F18" i="31"/>
  <c r="C20" i="30" s="1"/>
  <c r="F17" i="31"/>
  <c r="B20" i="30" s="1"/>
  <c r="F10" i="31"/>
  <c r="F9" i="31"/>
  <c r="F19" i="30" s="1"/>
  <c r="F22" i="30" s="1"/>
  <c r="F8" i="31"/>
  <c r="F7" i="31"/>
  <c r="D19" i="30" s="1"/>
  <c r="D22" i="30" s="1"/>
  <c r="F6" i="31"/>
  <c r="E19" i="30" s="1"/>
  <c r="E22" i="30" s="1"/>
  <c r="F5" i="31"/>
  <c r="C19" i="30" s="1"/>
  <c r="C22" i="30" s="1"/>
  <c r="F4" i="31"/>
  <c r="B19" i="30" s="1"/>
  <c r="G19" i="30" s="1"/>
  <c r="G20" i="30" l="1"/>
  <c r="G22" i="30"/>
  <c r="B22" i="30"/>
  <c r="F36" i="28" l="1"/>
  <c r="F35" i="28"/>
  <c r="F21" i="29" s="1"/>
  <c r="F34" i="28"/>
  <c r="F33" i="28"/>
  <c r="D21" i="29" s="1"/>
  <c r="F32" i="28"/>
  <c r="E21" i="29" s="1"/>
  <c r="F31" i="28"/>
  <c r="C21" i="29" s="1"/>
  <c r="F30" i="28"/>
  <c r="B21" i="29" s="1"/>
  <c r="G21" i="29" s="1"/>
  <c r="F23" i="28"/>
  <c r="F22" i="28"/>
  <c r="F20" i="29" s="1"/>
  <c r="F21" i="28"/>
  <c r="F20" i="28"/>
  <c r="D20" i="29" s="1"/>
  <c r="F19" i="28"/>
  <c r="E20" i="29" s="1"/>
  <c r="F18" i="28"/>
  <c r="C20" i="29" s="1"/>
  <c r="F17" i="28"/>
  <c r="B20" i="29" s="1"/>
  <c r="G20" i="29" s="1"/>
  <c r="F10" i="28"/>
  <c r="F9" i="28"/>
  <c r="F19" i="29" s="1"/>
  <c r="F22" i="29" s="1"/>
  <c r="F8" i="28"/>
  <c r="F7" i="28"/>
  <c r="D19" i="29" s="1"/>
  <c r="D22" i="29" s="1"/>
  <c r="F6" i="28"/>
  <c r="E19" i="29" s="1"/>
  <c r="E22" i="29" s="1"/>
  <c r="F5" i="28"/>
  <c r="C19" i="29" s="1"/>
  <c r="C22" i="29" s="1"/>
  <c r="F4" i="28"/>
  <c r="B19" i="29" s="1"/>
  <c r="G19" i="29" s="1"/>
  <c r="G22" i="29" l="1"/>
  <c r="B22" i="29"/>
  <c r="F36" i="27"/>
  <c r="F35" i="27"/>
  <c r="F21" i="26" s="1"/>
  <c r="F34" i="27"/>
  <c r="F33" i="27"/>
  <c r="D21" i="26" s="1"/>
  <c r="F32" i="27"/>
  <c r="E21" i="26" s="1"/>
  <c r="F31" i="27"/>
  <c r="C21" i="26" s="1"/>
  <c r="F30" i="27"/>
  <c r="B21" i="26" s="1"/>
  <c r="F23" i="27"/>
  <c r="F22" i="27"/>
  <c r="F20" i="26" s="1"/>
  <c r="F21" i="27"/>
  <c r="F20" i="27"/>
  <c r="D20" i="26" s="1"/>
  <c r="F19" i="27"/>
  <c r="E20" i="26" s="1"/>
  <c r="F18" i="27"/>
  <c r="C20" i="26" s="1"/>
  <c r="F17" i="27"/>
  <c r="B20" i="26" s="1"/>
  <c r="F10" i="27"/>
  <c r="F9" i="27"/>
  <c r="F19" i="26" s="1"/>
  <c r="F22" i="26" s="1"/>
  <c r="F8" i="27"/>
  <c r="F7" i="27"/>
  <c r="D19" i="26" s="1"/>
  <c r="F6" i="27"/>
  <c r="E19" i="26" s="1"/>
  <c r="E22" i="26" s="1"/>
  <c r="F5" i="27"/>
  <c r="C19" i="26" s="1"/>
  <c r="C22" i="26" s="1"/>
  <c r="F4" i="27"/>
  <c r="B19" i="26" s="1"/>
  <c r="B22" i="26" s="1"/>
  <c r="D22" i="26" l="1"/>
  <c r="G21" i="26"/>
  <c r="G20" i="26"/>
  <c r="G19" i="26"/>
  <c r="G22" i="26" s="1"/>
  <c r="F36" i="24" l="1"/>
  <c r="F35" i="24"/>
  <c r="F21" i="25" s="1"/>
  <c r="F34" i="24"/>
  <c r="F33" i="24"/>
  <c r="D21" i="25" s="1"/>
  <c r="F32" i="24"/>
  <c r="E21" i="25" s="1"/>
  <c r="F31" i="24"/>
  <c r="C21" i="25" s="1"/>
  <c r="F30" i="24"/>
  <c r="B21" i="25" s="1"/>
  <c r="G21" i="25" s="1"/>
  <c r="F23" i="24"/>
  <c r="F22" i="24"/>
  <c r="F20" i="25" s="1"/>
  <c r="F21" i="24"/>
  <c r="F20" i="24"/>
  <c r="D20" i="25" s="1"/>
  <c r="F19" i="24"/>
  <c r="E20" i="25" s="1"/>
  <c r="F18" i="24"/>
  <c r="C20" i="25" s="1"/>
  <c r="F17" i="24"/>
  <c r="B20" i="25" s="1"/>
  <c r="F10" i="24"/>
  <c r="F9" i="24"/>
  <c r="F19" i="25" s="1"/>
  <c r="F8" i="24"/>
  <c r="F7" i="24"/>
  <c r="D19" i="25" s="1"/>
  <c r="F6" i="24"/>
  <c r="E19" i="25" s="1"/>
  <c r="E22" i="25" s="1"/>
  <c r="F5" i="24"/>
  <c r="C19" i="25" s="1"/>
  <c r="C22" i="25" s="1"/>
  <c r="F4" i="24"/>
  <c r="B19" i="25" s="1"/>
  <c r="B22" i="25" l="1"/>
  <c r="D22" i="25"/>
  <c r="F22" i="25"/>
  <c r="G20" i="25"/>
  <c r="G19" i="25"/>
  <c r="F70" i="22"/>
  <c r="F108" i="22"/>
  <c r="F107" i="22"/>
  <c r="F27" i="23" s="1"/>
  <c r="F106" i="22"/>
  <c r="F105" i="22"/>
  <c r="D27" i="23" s="1"/>
  <c r="F104" i="22"/>
  <c r="E27" i="23" s="1"/>
  <c r="F103" i="22"/>
  <c r="C27" i="23" s="1"/>
  <c r="F102" i="22"/>
  <c r="B27" i="23" s="1"/>
  <c r="F95" i="22"/>
  <c r="F94" i="22"/>
  <c r="F26" i="23" s="1"/>
  <c r="F93" i="22"/>
  <c r="F92" i="22"/>
  <c r="D26" i="23" s="1"/>
  <c r="F91" i="22"/>
  <c r="E26" i="23" s="1"/>
  <c r="F90" i="22"/>
  <c r="C26" i="23" s="1"/>
  <c r="F89" i="22"/>
  <c r="B26" i="23" s="1"/>
  <c r="F82" i="22"/>
  <c r="F81" i="22"/>
  <c r="F25" i="23" s="1"/>
  <c r="F28" i="23" s="1"/>
  <c r="E40" i="23" s="1"/>
  <c r="G40" i="23" s="1"/>
  <c r="F79" i="22"/>
  <c r="D25" i="23" s="1"/>
  <c r="D28" i="23" s="1"/>
  <c r="E38" i="23" s="1"/>
  <c r="G38" i="23" s="1"/>
  <c r="F77" i="22"/>
  <c r="G24" i="23"/>
  <c r="G23" i="23"/>
  <c r="G21" i="23"/>
  <c r="G20" i="23"/>
  <c r="G19" i="23"/>
  <c r="G18" i="23"/>
  <c r="G17" i="23"/>
  <c r="G16" i="23"/>
  <c r="F69" i="22"/>
  <c r="F68" i="22"/>
  <c r="F67" i="22"/>
  <c r="F66" i="22"/>
  <c r="F65" i="22"/>
  <c r="F64" i="22"/>
  <c r="F63" i="22"/>
  <c r="F57" i="22"/>
  <c r="F56" i="22"/>
  <c r="F55" i="22"/>
  <c r="F54" i="22"/>
  <c r="F53" i="22"/>
  <c r="F52" i="22"/>
  <c r="F51" i="22"/>
  <c r="F45" i="22"/>
  <c r="F44" i="22"/>
  <c r="F43" i="22"/>
  <c r="F42" i="22"/>
  <c r="F41" i="22"/>
  <c r="F40" i="22"/>
  <c r="F39" i="22"/>
  <c r="F33" i="22"/>
  <c r="F32" i="22"/>
  <c r="F31" i="22"/>
  <c r="F30" i="22"/>
  <c r="F29" i="22"/>
  <c r="F28" i="22"/>
  <c r="F27" i="22"/>
  <c r="F21" i="22"/>
  <c r="F20" i="22"/>
  <c r="F19" i="22"/>
  <c r="F18" i="22"/>
  <c r="F17" i="22"/>
  <c r="F16" i="22"/>
  <c r="F15" i="22"/>
  <c r="F9" i="22"/>
  <c r="F8" i="22"/>
  <c r="F7" i="22"/>
  <c r="F6" i="22"/>
  <c r="F5" i="22"/>
  <c r="F4" i="22"/>
  <c r="F3" i="22"/>
  <c r="G22" i="25" l="1"/>
  <c r="G27" i="23"/>
  <c r="G26" i="23"/>
  <c r="F76" i="22"/>
  <c r="B25" i="23" s="1"/>
  <c r="F78" i="22"/>
  <c r="E25" i="23" s="1"/>
  <c r="E28" i="23" s="1"/>
  <c r="E39" i="23" s="1"/>
  <c r="G39" i="23" s="1"/>
  <c r="F80" i="22"/>
  <c r="C25" i="23" s="1"/>
  <c r="C28" i="23" s="1"/>
  <c r="E37" i="23" s="1"/>
  <c r="G37" i="23" s="1"/>
  <c r="G22" i="23"/>
  <c r="F70" i="21"/>
  <c r="F69" i="21"/>
  <c r="F68" i="21"/>
  <c r="F24" i="20" s="1"/>
  <c r="F67" i="21"/>
  <c r="F66" i="21"/>
  <c r="D24" i="20" s="1"/>
  <c r="F65" i="21"/>
  <c r="E24" i="20" s="1"/>
  <c r="F64" i="21"/>
  <c r="C24" i="20" s="1"/>
  <c r="F63" i="21"/>
  <c r="B24" i="20" s="1"/>
  <c r="F57" i="21"/>
  <c r="F56" i="21"/>
  <c r="F23" i="20" s="1"/>
  <c r="F55" i="21"/>
  <c r="F54" i="21"/>
  <c r="D23" i="20" s="1"/>
  <c r="F53" i="21"/>
  <c r="E23" i="20" s="1"/>
  <c r="F52" i="21"/>
  <c r="C23" i="20" s="1"/>
  <c r="F51" i="21"/>
  <c r="B23" i="20" s="1"/>
  <c r="F45" i="21"/>
  <c r="F44" i="21"/>
  <c r="F22" i="20" s="1"/>
  <c r="F43" i="21"/>
  <c r="F42" i="21"/>
  <c r="D22" i="20" s="1"/>
  <c r="F41" i="21"/>
  <c r="E22" i="20" s="1"/>
  <c r="F40" i="21"/>
  <c r="C22" i="20" s="1"/>
  <c r="F39" i="21"/>
  <c r="B22" i="20" s="1"/>
  <c r="F33" i="21"/>
  <c r="F32" i="21"/>
  <c r="F31" i="21"/>
  <c r="F30" i="21"/>
  <c r="F29" i="21"/>
  <c r="F28" i="21"/>
  <c r="F27" i="21"/>
  <c r="F21" i="21"/>
  <c r="F20" i="21"/>
  <c r="F19" i="21"/>
  <c r="F18" i="21"/>
  <c r="F17" i="21"/>
  <c r="F16" i="21"/>
  <c r="F15" i="21"/>
  <c r="F9" i="21"/>
  <c r="F8" i="21"/>
  <c r="F7" i="21"/>
  <c r="F6" i="21"/>
  <c r="F5" i="21"/>
  <c r="F4" i="21"/>
  <c r="F3" i="21"/>
  <c r="F69" i="18"/>
  <c r="F68" i="18"/>
  <c r="F67" i="18"/>
  <c r="F66" i="18"/>
  <c r="F65" i="18"/>
  <c r="F64" i="18"/>
  <c r="F63" i="18"/>
  <c r="F57" i="18"/>
  <c r="F56" i="18"/>
  <c r="F55" i="18"/>
  <c r="F54" i="18"/>
  <c r="F53" i="18"/>
  <c r="F52" i="18"/>
  <c r="F51" i="18"/>
  <c r="F45" i="18"/>
  <c r="F44" i="18"/>
  <c r="F43" i="18"/>
  <c r="F42" i="18"/>
  <c r="F41" i="18"/>
  <c r="F40" i="18"/>
  <c r="F39" i="18"/>
  <c r="G27" i="20"/>
  <c r="G26" i="20"/>
  <c r="G25" i="20"/>
  <c r="G21" i="20"/>
  <c r="G20" i="20"/>
  <c r="G18" i="20"/>
  <c r="G17" i="20"/>
  <c r="G16" i="20"/>
  <c r="B28" i="23" l="1"/>
  <c r="E36" i="23" s="1"/>
  <c r="G36" i="23" s="1"/>
  <c r="G41" i="23" s="1"/>
  <c r="G25" i="23"/>
  <c r="G28" i="23"/>
  <c r="G22" i="20"/>
  <c r="G24" i="20"/>
  <c r="B28" i="20"/>
  <c r="E36" i="20" s="1"/>
  <c r="G36" i="20" s="1"/>
  <c r="E28" i="20"/>
  <c r="E39" i="20" s="1"/>
  <c r="G39" i="20" s="1"/>
  <c r="C28" i="20"/>
  <c r="E37" i="20" s="1"/>
  <c r="G37" i="20" s="1"/>
  <c r="D28" i="20"/>
  <c r="E38" i="20" s="1"/>
  <c r="G38" i="20" s="1"/>
  <c r="F28" i="20"/>
  <c r="E40" i="20" s="1"/>
  <c r="G40" i="20" s="1"/>
  <c r="G23" i="20"/>
  <c r="G19" i="20"/>
  <c r="G28" i="20" s="1"/>
  <c r="G27" i="19"/>
  <c r="G26" i="19"/>
  <c r="G25" i="19"/>
  <c r="G24" i="19"/>
  <c r="G23" i="19"/>
  <c r="G22" i="19"/>
  <c r="G18" i="19"/>
  <c r="G17" i="19"/>
  <c r="F33" i="18"/>
  <c r="F32" i="18"/>
  <c r="F21" i="19" s="1"/>
  <c r="F31" i="18"/>
  <c r="F30" i="18"/>
  <c r="D21" i="19" s="1"/>
  <c r="F29" i="18"/>
  <c r="E21" i="19" s="1"/>
  <c r="F28" i="18"/>
  <c r="C21" i="19" s="1"/>
  <c r="F27" i="18"/>
  <c r="B21" i="19" s="1"/>
  <c r="F21" i="18"/>
  <c r="F20" i="18"/>
  <c r="F20" i="19" s="1"/>
  <c r="F19" i="18"/>
  <c r="F18" i="18"/>
  <c r="D20" i="19" s="1"/>
  <c r="F17" i="18"/>
  <c r="E20" i="19" s="1"/>
  <c r="F16" i="18"/>
  <c r="C20" i="19" s="1"/>
  <c r="F15" i="18"/>
  <c r="B20" i="19" s="1"/>
  <c r="G20" i="19" s="1"/>
  <c r="F9" i="18"/>
  <c r="F8" i="18"/>
  <c r="F19" i="19" s="1"/>
  <c r="F28" i="19" s="1"/>
  <c r="E40" i="19" s="1"/>
  <c r="G40" i="19" s="1"/>
  <c r="F7" i="18"/>
  <c r="F6" i="18"/>
  <c r="D19" i="19" s="1"/>
  <c r="D28" i="19" s="1"/>
  <c r="E38" i="19" s="1"/>
  <c r="G38" i="19" s="1"/>
  <c r="F5" i="18"/>
  <c r="E19" i="19" s="1"/>
  <c r="E28" i="19" s="1"/>
  <c r="E39" i="19" s="1"/>
  <c r="G39" i="19" s="1"/>
  <c r="F4" i="18"/>
  <c r="C19" i="19" s="1"/>
  <c r="C28" i="19" s="1"/>
  <c r="E37" i="19" s="1"/>
  <c r="G37" i="19" s="1"/>
  <c r="F3" i="18"/>
  <c r="B19" i="19" s="1"/>
  <c r="B28" i="19" l="1"/>
  <c r="E36" i="19" s="1"/>
  <c r="G36" i="19" s="1"/>
  <c r="G41" i="19" s="1"/>
  <c r="G19" i="19"/>
  <c r="G21" i="19"/>
  <c r="G41" i="20"/>
  <c r="G16" i="19"/>
  <c r="G28" i="19" s="1"/>
  <c r="G27" i="17"/>
  <c r="G26" i="17"/>
  <c r="G25" i="17"/>
  <c r="G24" i="17"/>
  <c r="G23" i="17"/>
  <c r="G22" i="17"/>
  <c r="G21" i="17"/>
  <c r="G20" i="17"/>
  <c r="G19" i="17"/>
  <c r="F33" i="16"/>
  <c r="F32" i="16"/>
  <c r="F18" i="17" s="1"/>
  <c r="F31" i="16"/>
  <c r="F30" i="16"/>
  <c r="D18" i="17" s="1"/>
  <c r="F29" i="16"/>
  <c r="E18" i="17" s="1"/>
  <c r="F28" i="16"/>
  <c r="F27" i="16"/>
  <c r="B18" i="17" s="1"/>
  <c r="F21" i="16"/>
  <c r="F20" i="16"/>
  <c r="F17" i="17" s="1"/>
  <c r="F19" i="16"/>
  <c r="F18" i="16"/>
  <c r="D17" i="17" s="1"/>
  <c r="F17" i="16"/>
  <c r="E17" i="17" s="1"/>
  <c r="F16" i="16"/>
  <c r="C17" i="17" s="1"/>
  <c r="F15" i="16"/>
  <c r="B17" i="17" s="1"/>
  <c r="F9" i="16"/>
  <c r="F8" i="16"/>
  <c r="F16" i="17" s="1"/>
  <c r="F7" i="16"/>
  <c r="F6" i="16"/>
  <c r="D16" i="17" s="1"/>
  <c r="F5" i="16"/>
  <c r="E16" i="17" s="1"/>
  <c r="F4" i="16"/>
  <c r="C16" i="17" s="1"/>
  <c r="F3" i="16"/>
  <c r="B16" i="17" s="1"/>
  <c r="C18" i="17" l="1"/>
  <c r="G18" i="17"/>
  <c r="E28" i="17"/>
  <c r="E39" i="17" s="1"/>
  <c r="G39" i="17" s="1"/>
  <c r="D28" i="17"/>
  <c r="E38" i="17" s="1"/>
  <c r="G38" i="17" s="1"/>
  <c r="F28" i="17"/>
  <c r="E40" i="17" s="1"/>
  <c r="G40" i="17" s="1"/>
  <c r="C28" i="17"/>
  <c r="E37" i="17" s="1"/>
  <c r="G37" i="17" s="1"/>
  <c r="B28" i="17"/>
  <c r="E36" i="17" s="1"/>
  <c r="G36" i="17" s="1"/>
  <c r="G16" i="17"/>
  <c r="G17" i="17"/>
  <c r="G28" i="17" l="1"/>
  <c r="G41" i="17"/>
  <c r="E27" i="14"/>
  <c r="C27" i="14"/>
  <c r="E26" i="14"/>
  <c r="C26" i="14"/>
  <c r="E25" i="14"/>
  <c r="C25" i="14"/>
  <c r="E24" i="14"/>
  <c r="C24" i="14"/>
  <c r="E23" i="14" l="1"/>
  <c r="C23" i="14"/>
  <c r="E22" i="14"/>
  <c r="C22" i="14"/>
  <c r="E21" i="14"/>
  <c r="C21" i="14"/>
  <c r="E20" i="14"/>
  <c r="C20" i="14"/>
  <c r="E19" i="14"/>
  <c r="C19" i="14"/>
  <c r="E18" i="14"/>
  <c r="C18" i="14"/>
  <c r="E17" i="14"/>
  <c r="C17" i="14"/>
  <c r="E16" i="14"/>
  <c r="C16" i="14"/>
  <c r="F28" i="14" l="1"/>
  <c r="E40" i="14" s="1"/>
  <c r="G40" i="14" s="1"/>
  <c r="D28" i="14"/>
  <c r="E38" i="14" s="1"/>
  <c r="G38" i="14" s="1"/>
  <c r="B28" i="14"/>
  <c r="E36" i="14" s="1"/>
  <c r="G36" i="14" s="1"/>
  <c r="G27" i="14"/>
  <c r="G26" i="14"/>
  <c r="G25" i="14"/>
  <c r="G24" i="14"/>
  <c r="G23" i="14"/>
  <c r="G22" i="14"/>
  <c r="G21" i="14"/>
  <c r="G20" i="14"/>
  <c r="G19" i="14"/>
  <c r="G18" i="14"/>
  <c r="C28" i="14"/>
  <c r="E37" i="14" s="1"/>
  <c r="G37" i="14" s="1"/>
  <c r="E28" i="14"/>
  <c r="E39" i="14" s="1"/>
  <c r="G39" i="14" s="1"/>
  <c r="G16" i="14"/>
  <c r="G41" i="14" l="1"/>
  <c r="G17" i="14"/>
  <c r="G28" i="14" s="1"/>
  <c r="G10" i="11"/>
  <c r="G11" i="11"/>
  <c r="G12" i="11"/>
  <c r="G13" i="11"/>
  <c r="G9" i="11"/>
  <c r="F28" i="13"/>
  <c r="E34" i="13" s="1"/>
  <c r="H34" i="13" s="1"/>
  <c r="D28" i="13"/>
  <c r="E32" i="13" s="1"/>
  <c r="H32" i="13" s="1"/>
  <c r="B28" i="13"/>
  <c r="E30" i="13" s="1"/>
  <c r="H30" i="13" s="1"/>
  <c r="H35" i="13" s="1"/>
  <c r="E27" i="13"/>
  <c r="C27" i="13"/>
  <c r="G27" i="13" s="1"/>
  <c r="E26" i="13"/>
  <c r="C26" i="13"/>
  <c r="G26" i="13" s="1"/>
  <c r="E25" i="13"/>
  <c r="C25" i="13"/>
  <c r="G25" i="13" s="1"/>
  <c r="E24" i="13"/>
  <c r="C24" i="13"/>
  <c r="G24" i="13" s="1"/>
  <c r="E23" i="13"/>
  <c r="C23" i="13"/>
  <c r="G23" i="13" s="1"/>
  <c r="E22" i="13"/>
  <c r="C22" i="13"/>
  <c r="G22" i="13" s="1"/>
  <c r="E21" i="13"/>
  <c r="C21" i="13"/>
  <c r="G21" i="13" s="1"/>
  <c r="E20" i="13"/>
  <c r="C20" i="13"/>
  <c r="G20" i="13" s="1"/>
  <c r="E19" i="13"/>
  <c r="C19" i="13"/>
  <c r="G19" i="13" s="1"/>
  <c r="E18" i="13"/>
  <c r="C18" i="13"/>
  <c r="G18" i="13" s="1"/>
  <c r="E17" i="13"/>
  <c r="C17" i="13"/>
  <c r="G17" i="13" s="1"/>
  <c r="E16" i="13"/>
  <c r="E28" i="13" s="1"/>
  <c r="E33" i="13" s="1"/>
  <c r="H33" i="13" s="1"/>
  <c r="C16" i="13"/>
  <c r="C28" i="13" s="1"/>
  <c r="E31" i="13" s="1"/>
  <c r="H31" i="13" s="1"/>
  <c r="B19" i="11"/>
  <c r="F14" i="11"/>
  <c r="B21" i="10"/>
  <c r="F16" i="10"/>
  <c r="G15" i="10"/>
  <c r="G14" i="10"/>
  <c r="G13" i="10"/>
  <c r="G12" i="10"/>
  <c r="G11" i="10"/>
  <c r="G10" i="10"/>
  <c r="G9" i="10"/>
  <c r="B21" i="9"/>
  <c r="F16" i="9"/>
  <c r="G15" i="9"/>
  <c r="G14" i="9"/>
  <c r="G13" i="9"/>
  <c r="G12" i="9"/>
  <c r="G11" i="9"/>
  <c r="G10" i="9"/>
  <c r="G9" i="9"/>
  <c r="B21" i="8"/>
  <c r="F16" i="8"/>
  <c r="G14" i="8"/>
  <c r="G13" i="8"/>
  <c r="G12" i="8"/>
  <c r="G11" i="8"/>
  <c r="G10" i="8"/>
  <c r="G9" i="8"/>
  <c r="G16" i="13" l="1"/>
  <c r="G28" i="13" s="1"/>
  <c r="F16" i="6"/>
  <c r="G10" i="6"/>
  <c r="G11" i="6"/>
  <c r="G12" i="6"/>
  <c r="G13" i="6"/>
  <c r="G14" i="6"/>
  <c r="G9" i="6"/>
  <c r="B21" i="6"/>
</calcChain>
</file>

<file path=xl/sharedStrings.xml><?xml version="1.0" encoding="utf-8"?>
<sst xmlns="http://schemas.openxmlformats.org/spreadsheetml/2006/main" count="1293" uniqueCount="123">
  <si>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</si>
  <si>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</si>
  <si>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</si>
  <si>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</si>
  <si>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</si>
  <si>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</si>
  <si>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</si>
  <si>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</si>
  <si>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</si>
  <si>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</si>
  <si>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</si>
  <si>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</si>
  <si>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RELACION DE INGRESOS BRUTOS</t>
  </si>
  <si>
    <t>CODIGO</t>
  </si>
  <si>
    <t>DESCRIPCION</t>
  </si>
  <si>
    <t>MES</t>
  </si>
  <si>
    <t>DESDE 1 DE ENERO HASTA 31 DE DICIEMBRE 2016</t>
  </si>
  <si>
    <t>FARMACIAS, BOTICAS, EXPENDIO DE MEDICINAS Y MICELANEOS.</t>
  </si>
  <si>
    <t>METROFARMA SOCIAL, C.A.</t>
  </si>
  <si>
    <t>J-29678652-6</t>
  </si>
  <si>
    <t>PERFUMERIAS, COSMETICOS, ARTICULOS DE LIMPIEZA Y P</t>
  </si>
  <si>
    <t>VENTA DE PRODUCTOS NATURISTAS, NUTRICIONALES Y SIM</t>
  </si>
  <si>
    <t>DETAL DE HELADOS, REFRESQUERIA CAFETERIA, CONFITERIA</t>
  </si>
  <si>
    <t>DETAL DE INTRUM. DE OPTICA, CINEMATOGRAFIA, ARTICUL</t>
  </si>
  <si>
    <t>TOTALES</t>
  </si>
  <si>
    <t>TOTAL MES</t>
  </si>
  <si>
    <t>X</t>
  </si>
  <si>
    <t>DESDE 1 DE JUNIO 2011 HASTA 31 DE MAYO 2012</t>
  </si>
  <si>
    <t>DETAL GOLOSINAS</t>
  </si>
  <si>
    <t>FARMACIAS</t>
  </si>
  <si>
    <t>DETAL PRODUCTOS NATURISTAS</t>
  </si>
  <si>
    <t>ALICUOTA</t>
  </si>
  <si>
    <t>PERFUMERIAS, COSMETICOS</t>
  </si>
  <si>
    <t>DETAL DETERGENTES</t>
  </si>
  <si>
    <t>DETAL PRODUCTOS OPTICO</t>
  </si>
  <si>
    <t>DETAL BEBIDAS NO ALCOHOLICAS</t>
  </si>
  <si>
    <t>TOTAL INGRESO</t>
  </si>
  <si>
    <t>IMP EJERCICIO</t>
  </si>
  <si>
    <t>INGRESO BRUT</t>
  </si>
  <si>
    <t>DESDE 1 DE JUNIO 2012 HASTA 31 DE MAYO 2013</t>
  </si>
  <si>
    <t>DESDE 1 DE JUNIO 2013 HASTA 31 DE MAYO 2014</t>
  </si>
  <si>
    <t>DESDE 1 DE ENERO 2014 HASTA 31 DE DICIEMBRE 2014</t>
  </si>
  <si>
    <t>DESDE 1 DE ENERO 2015 HASTA 31 DE DICIEMBRE 2015</t>
  </si>
  <si>
    <t>DESDE 1 DE ENERO HASTA 31 DE DICIEMBRE 2017</t>
  </si>
  <si>
    <t>ventas medicinas y otros prod de farmacia</t>
  </si>
  <si>
    <t>ventas perfumes cosmeticos art tocador</t>
  </si>
  <si>
    <t>ventas de confiteria</t>
  </si>
  <si>
    <t>ventas de productos naturistas</t>
  </si>
  <si>
    <t>ventas detergentes y art de limpieza</t>
  </si>
  <si>
    <t>ventas prod optico</t>
  </si>
  <si>
    <t>ventas bebidas no alcoholicas</t>
  </si>
  <si>
    <t>total %</t>
  </si>
  <si>
    <t>base mas exento</t>
  </si>
  <si>
    <t>iva debito</t>
  </si>
  <si>
    <t>iva</t>
  </si>
  <si>
    <t>ventas de ENERO 2018</t>
  </si>
  <si>
    <t>ventas de FEBRERO 2018</t>
  </si>
  <si>
    <t>ventas de MARZO 2018</t>
  </si>
  <si>
    <t>DESDE 1 DE ENERO HASTA 31 DE MARZO 2018</t>
  </si>
  <si>
    <t>ventas de ABRIL 2018</t>
  </si>
  <si>
    <t>ventas de MAYO 2018</t>
  </si>
  <si>
    <t>ventas de JUNIO 2018</t>
  </si>
  <si>
    <t>DESDE 1 DE ABRIL HASTA 31 DE JUNIO 2018</t>
  </si>
  <si>
    <t>DESDE 1 DE JUNIO HASTA 30 DE SEPTIEMBRE 2018</t>
  </si>
  <si>
    <t>ventas de JULIO 2018</t>
  </si>
  <si>
    <t>ventas de AGOSTO 2018</t>
  </si>
  <si>
    <t>ventas de SEPTIEMBRE 2018</t>
  </si>
  <si>
    <t>DESDE 1 DE OCTUBRE HASTA 31 DE DICIEMBRE 2018</t>
  </si>
  <si>
    <t>ventas de OCTUBRE 2018</t>
  </si>
  <si>
    <t>ventas de NOVIEMBRE 2018</t>
  </si>
  <si>
    <t>ventas de DICIEMBRE 2018</t>
  </si>
  <si>
    <t>DESDE 1 DE ENERO HASTA 31 DE MARZO 2019</t>
  </si>
  <si>
    <t>ventas de ENERO 2019</t>
  </si>
  <si>
    <t>ventas de FEBRERO 2019</t>
  </si>
  <si>
    <t>ventas de MARZO 2019</t>
  </si>
  <si>
    <t>ventas de ABRIL 2019</t>
  </si>
  <si>
    <t>ventas de MAYO 2019</t>
  </si>
  <si>
    <t>ventas de JUNIO 2019</t>
  </si>
  <si>
    <t>DESDE 1 DE ABRIL HASTA 30 DE JUNIO 2019</t>
  </si>
  <si>
    <t>ventas de JULIO 2019</t>
  </si>
  <si>
    <t>ventas de AGOSTO 2019</t>
  </si>
  <si>
    <t>ventas de SEPTIEMBRE 2019</t>
  </si>
  <si>
    <t>DESDE 1 DE JULIO HASTA 30 DE SEPTIEMBRE 2019</t>
  </si>
  <si>
    <t>DESDE 1 DE OCTUBRE HASTA 31 DE DICIEMBRE 2019</t>
  </si>
  <si>
    <t>ventas de OCTUBRE 2019</t>
  </si>
  <si>
    <t>ventas de NOVIEMBRE 2019</t>
  </si>
  <si>
    <t>ventas de DICIEMBRE 2019</t>
  </si>
  <si>
    <t>ventas de ENERO 2020</t>
  </si>
  <si>
    <t>ventas de FEBRERO 2020</t>
  </si>
  <si>
    <t>ventas de MARZO 2020</t>
  </si>
  <si>
    <t>DESDE 1 DE ENERO HASTA 31 DE MARZO 2020</t>
  </si>
  <si>
    <t>DESDE 1 DE ABRIL HASTA 30 DE JUNIO 2020</t>
  </si>
  <si>
    <t>ventas de ABRIL 2020</t>
  </si>
  <si>
    <t>ventas de MAYO 2020</t>
  </si>
  <si>
    <t>ventas de JUNIO 2020</t>
  </si>
  <si>
    <t>DESDE 6 DE JULIO HASTA 02 DE AGOSTO 2020</t>
  </si>
  <si>
    <t>ventas de JULIO 2020</t>
  </si>
  <si>
    <t>DESDE 3 DE AGOSTO HASTA 30 DE AGOSTO 2020</t>
  </si>
  <si>
    <t>ventas de AGOSTO 2020</t>
  </si>
  <si>
    <t>ventas de SEPTIEMBRE 2020</t>
  </si>
  <si>
    <t>DESDE 31 DE AGOSTO HASTA 30 DE SEPTIEMBRE 2020</t>
  </si>
  <si>
    <t>ventas de OCTUBRE 2020</t>
  </si>
  <si>
    <t>DESDE 01 DE OCTUBRE HASTA 31 DE OCTUBRE 2020</t>
  </si>
  <si>
    <t>DESDE 01 DE NOVIEMBRE HASTA 30 DE NOVIEMBRE 2020</t>
  </si>
  <si>
    <t>ventas de NOVIEMBRE 2020</t>
  </si>
  <si>
    <t>DESDE 01 DE DICIEMBRE HASTA 31 DE DICIEMBRE 2020</t>
  </si>
  <si>
    <t>ventas de DICIEMBRE 2020</t>
  </si>
  <si>
    <t>ventas de ENERO 2021</t>
  </si>
  <si>
    <t>DESDE 01 DE ENERO HASTA 31 DE ENERO 2021</t>
  </si>
  <si>
    <t>DESDE 01 DE FEBRERO HASTA 28 DE FEBRERO 2021</t>
  </si>
  <si>
    <t>DESCUENTO 5%</t>
  </si>
  <si>
    <t>TOTAL A PAGAR</t>
  </si>
  <si>
    <t>DESDE 01 DE MARZO HASTA 31 DE MARZO 2021</t>
  </si>
  <si>
    <t>DESDE 01 DE ABRIL HASTA 30 DE ABRIL 2021</t>
  </si>
  <si>
    <t>DESDE 01 DE MAYO HASTA 31 DE MAYO 2021</t>
  </si>
  <si>
    <t>1201-02</t>
  </si>
  <si>
    <t>1206-02</t>
  </si>
  <si>
    <t>1202-06</t>
  </si>
  <si>
    <t>1201-13</t>
  </si>
  <si>
    <t>1206-07</t>
  </si>
  <si>
    <t>DESDE 01 DE JUNIO HASTA 30 DE JUNIO 2021</t>
  </si>
  <si>
    <t>DESDE 01 DE JULIO HASTA 31 DE JULIO 2021</t>
  </si>
  <si>
    <t>MINIMO TRIBUTABLE= 48.187.749,12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</si>
</sst>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0" fontId="2" fillId="0" borderId="0" xfId="0" applyFont="1" applyAlignment="1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4" fontId="0" fillId="0" borderId="1" xfId="0" applyNumberFormat="1" applyBorder="1" applyAlignment="1">
      <alignment horizontal="center"/>
    </xf>
    <xf numFmtId="4" fontId="0" fillId="0" borderId="0" xfId="0" applyNumberFormat="1" applyAlignment="1"/>
    <xf numFmtId="4" fontId="0" fillId="0" borderId="1" xfId="0" applyNumberFormat="1" applyBorder="1"/>
    <xf numFmtId="0" fontId="1" fillId="0" borderId="0" xfId="0" applyFont="1" applyFill="1" applyAlignment="1"/>
    <xf numFmtId="4" fontId="1" fillId="0" borderId="0" xfId="0" applyNumberFormat="1" applyFont="1" applyFill="1" applyAlignment="1"/>
    <xf numFmtId="4" fontId="1" fillId="0" borderId="0" xfId="0" applyNumberFormat="1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1" fillId="0" borderId="3" xfId="0" applyNumberFormat="1" applyFont="1" applyBorder="1" applyAlignment="1"/>
    <xf numFmtId="10" fontId="1" fillId="0" borderId="0" xfId="0" applyNumberFormat="1" applyFont="1" applyFill="1" applyAlignment="1"/>
    <xf numFmtId="10" fontId="1" fillId="0" borderId="0" xfId="0" applyNumberFormat="1" applyFont="1" applyAlignment="1"/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2" xfId="0" applyFont="1" applyFill="1" applyBorder="1"/>
    <xf numFmtId="4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/>
    <xf numFmtId="4" fontId="0" fillId="3" borderId="0" xfId="0" applyNumberFormat="1" applyFill="1"/>
    <xf numFmtId="4" fontId="0" fillId="0" borderId="0" xfId="0" applyNumberFormat="1" applyFill="1"/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5" borderId="0" xfId="0" applyFill="1"/>
    <xf numFmtId="4" fontId="0" fillId="5" borderId="0" xfId="0" applyNumberFormat="1" applyFill="1"/>
    <xf numFmtId="0" fontId="0" fillId="5" borderId="0" xfId="0" applyFill="1" applyAlignment="1">
      <alignment horizontal="center"/>
    </xf>
    <xf numFmtId="0" fontId="0" fillId="6" borderId="0" xfId="0" applyFill="1"/>
    <xf numFmtId="4" fontId="0" fillId="6" borderId="0" xfId="0" applyNumberFormat="1" applyFill="1"/>
    <xf numFmtId="0" fontId="0" fillId="6" borderId="0" xfId="0" applyFill="1" applyAlignment="1">
      <alignment horizontal="center"/>
    </xf>
    <xf numFmtId="0" fontId="0" fillId="7" borderId="0" xfId="0" applyFill="1"/>
    <xf numFmtId="4" fontId="0" fillId="7" borderId="0" xfId="0" applyNumberFormat="1" applyFill="1"/>
    <xf numFmtId="0" fontId="0" fillId="7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8" borderId="0" xfId="0" applyFill="1"/>
    <xf numFmtId="4" fontId="0" fillId="8" borderId="0" xfId="0" applyNumberFormat="1" applyFill="1"/>
    <xf numFmtId="0" fontId="0" fillId="8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4" fontId="6" fillId="0" borderId="0" xfId="0" applyNumberFormat="1" applyFont="1" applyFill="1" applyAlignment="1"/>
    <xf numFmtId="4" fontId="6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9" fontId="8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121636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607411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7620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588361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7620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645511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7620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569311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7620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57150</xdr:rowOff>
    </xdr:from>
    <xdr:to>
      <xdr:col>2</xdr:col>
      <xdr:colOff>836011</xdr:colOff>
      <xdr:row>7</xdr:row>
      <xdr:rowOff>28575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466725" y="5715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407386</xdr:colOff>
      <xdr:row>6</xdr:row>
      <xdr:rowOff>190500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3350" y="0"/>
          <a:ext cx="2131411" cy="1352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INGRESOS%20SEGUN%20DECLARACION%20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2">
          <cell r="B132">
            <v>11824302576.5</v>
          </cell>
        </row>
        <row r="134">
          <cell r="B134">
            <v>14070256105.719999</v>
          </cell>
        </row>
        <row r="136">
          <cell r="B136">
            <v>15282988087.49</v>
          </cell>
        </row>
        <row r="137">
          <cell r="B137">
            <v>19525978990.099998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3">
          <cell r="B133">
            <v>578990599.08000004</v>
          </cell>
        </row>
      </sheetData>
      <sheetData sheetId="10">
        <row r="130">
          <cell r="B130">
            <v>16620926501.880001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tabSelected="1" topLeftCell="A7" workbookViewId="0">
      <selection activeCell="D29" sqref="D29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121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97"/>
      <c r="B9" s="97"/>
      <c r="C9" s="97"/>
      <c r="D9" s="97"/>
      <c r="E9" s="97"/>
      <c r="F9" s="87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97" t="s">
        <v>13</v>
      </c>
      <c r="B10" s="104" t="s">
        <v>14</v>
      </c>
      <c r="C10" s="104"/>
      <c r="D10" s="9"/>
      <c r="E10" s="9"/>
      <c r="F10" s="88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 t="s">
        <v>115</v>
      </c>
      <c r="B11" s="22" t="s">
        <v>17</v>
      </c>
      <c r="C11" s="22"/>
      <c r="D11" s="22"/>
      <c r="E11" s="22"/>
      <c r="F11" s="81">
        <f>+B19*B17</f>
        <v>125312281.47932398</v>
      </c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 t="s">
        <v>116</v>
      </c>
      <c r="B12" s="3" t="s">
        <v>20</v>
      </c>
      <c r="C12" s="3"/>
      <c r="D12" s="3"/>
      <c r="E12" s="3"/>
      <c r="F12" s="82">
        <f>+C19*C17</f>
        <v>101816228.70195073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 t="s">
        <v>117</v>
      </c>
      <c r="B13" s="3" t="s">
        <v>21</v>
      </c>
      <c r="C13" s="3"/>
      <c r="D13" s="3"/>
      <c r="E13" s="3"/>
      <c r="F13" s="82">
        <f>+D19*D17</f>
        <v>100075780.34807123</v>
      </c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 t="s">
        <v>118</v>
      </c>
      <c r="B14" s="3" t="s">
        <v>22</v>
      </c>
      <c r="C14" s="3"/>
      <c r="D14" s="3"/>
      <c r="E14" s="3"/>
      <c r="F14" s="82">
        <f>+E19*E17</f>
        <v>59175244.031902999</v>
      </c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 t="s">
        <v>119</v>
      </c>
      <c r="B15" s="3" t="s">
        <v>23</v>
      </c>
      <c r="C15" s="3"/>
      <c r="D15" s="3"/>
      <c r="E15" s="3"/>
      <c r="F15" s="82">
        <f>+F19*F17</f>
        <v>70488158.332119733</v>
      </c>
      <c r="G15" s="3"/>
      <c r="H15" s="3"/>
      <c r="I15" s="3"/>
      <c r="J15" s="3"/>
      <c r="K15" s="3"/>
      <c r="L15" s="3"/>
      <c r="M15" s="3"/>
      <c r="N15" s="3"/>
    </row>
    <row r="16" spans="1:14" ht="15.75" x14ac:dyDescent="0.25">
      <c r="A16" s="9"/>
      <c r="B16" s="12"/>
      <c r="C16" s="12"/>
      <c r="D16" s="12"/>
      <c r="E16" s="12"/>
      <c r="F16" s="10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80">
        <v>0.01</v>
      </c>
      <c r="C17" s="29">
        <v>2.2499999999999999E-2</v>
      </c>
      <c r="D17" s="29">
        <v>1.15E-2</v>
      </c>
      <c r="E17" s="80">
        <v>0.01</v>
      </c>
      <c r="F17" s="29">
        <v>2.2499999999999999E-2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 t="s">
        <v>115</v>
      </c>
      <c r="C18" s="2" t="s">
        <v>116</v>
      </c>
      <c r="D18" s="2" t="s">
        <v>117</v>
      </c>
      <c r="E18" s="2" t="s">
        <v>118</v>
      </c>
      <c r="F18" s="2" t="s">
        <v>119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6</v>
      </c>
      <c r="B19" s="5">
        <f>+'07-2021 '!F4</f>
        <v>12531228147.932398</v>
      </c>
      <c r="C19" s="5">
        <f>+'07-2021 '!F5+'07-2021 '!F6</f>
        <v>4525165720.0866995</v>
      </c>
      <c r="D19" s="5">
        <f>+'07-2021 '!F7</f>
        <v>8702241769.3974991</v>
      </c>
      <c r="E19" s="5">
        <f>+'07-2021 '!F8+'07-2021 '!F9</f>
        <v>5917524403.1903</v>
      </c>
      <c r="F19" s="5">
        <f>+'07-2021 '!F10</f>
        <v>3132807036.9830995</v>
      </c>
      <c r="G19" s="5">
        <f t="shared" ref="G19" si="0">+B19+C19+D19+E19+F19</f>
        <v>34808967077.589996</v>
      </c>
    </row>
    <row r="20" spans="1:14" x14ac:dyDescent="0.25">
      <c r="A20" s="39" t="s">
        <v>24</v>
      </c>
      <c r="B20" s="40">
        <f t="shared" ref="B20:G20" si="1">SUM(B19:B19)</f>
        <v>12531228147.932398</v>
      </c>
      <c r="C20" s="40">
        <f t="shared" si="1"/>
        <v>4525165720.0866995</v>
      </c>
      <c r="D20" s="40">
        <f t="shared" si="1"/>
        <v>8702241769.3974991</v>
      </c>
      <c r="E20" s="40">
        <f t="shared" si="1"/>
        <v>5917524403.1903</v>
      </c>
      <c r="F20" s="40">
        <f t="shared" si="1"/>
        <v>3132807036.9830995</v>
      </c>
      <c r="G20" s="40">
        <f t="shared" si="1"/>
        <v>34808967077.589996</v>
      </c>
    </row>
    <row r="21" spans="1:14" x14ac:dyDescent="0.25">
      <c r="F21" s="25"/>
    </row>
    <row r="23" spans="1:14" x14ac:dyDescent="0.25">
      <c r="B23" s="36">
        <f>+B20*B17</f>
        <v>125312281.47932398</v>
      </c>
      <c r="C23" s="36">
        <f>+C20*C17</f>
        <v>101816228.70195073</v>
      </c>
      <c r="D23" s="36">
        <f>+D20*D17</f>
        <v>100075780.34807123</v>
      </c>
      <c r="E23" s="36">
        <f>+E20*E17</f>
        <v>59175244.031902999</v>
      </c>
      <c r="F23" s="36">
        <f>+F20*F17</f>
        <v>70488158.332119733</v>
      </c>
      <c r="G23" s="36">
        <f>SUM(B23:F23)</f>
        <v>456867692.8933686</v>
      </c>
    </row>
    <row r="25" spans="1:14" x14ac:dyDescent="0.25">
      <c r="A25" t="s">
        <v>122</v>
      </c>
      <c r="F25" s="91" t="s">
        <v>110</v>
      </c>
      <c r="G25" s="36">
        <f>+G23*5%</f>
        <v>22843384.64466843</v>
      </c>
      <c r="H25" s="90">
        <v>0.05</v>
      </c>
    </row>
    <row r="27" spans="1:14" x14ac:dyDescent="0.25">
      <c r="F27" s="92" t="s">
        <v>111</v>
      </c>
      <c r="G27" s="93">
        <f>+G23-G25</f>
        <v>434024308.24870014</v>
      </c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E19" sqref="E19"/>
    </sheetView>
  </sheetViews>
  <sheetFormatPr baseColWidth="10" defaultRowHeight="15" x14ac:dyDescent="0.25"/>
  <cols>
    <col min="1" max="5" width="11.42578125" style="11"/>
    <col min="6" max="6" width="16.42578125" style="11" bestFit="1" customWidth="1"/>
    <col min="7" max="16384" width="11.42578125" style="11"/>
  </cols>
  <sheetData>
    <row r="2" spans="1:35" x14ac:dyDescent="0.25">
      <c r="A2" s="11" t="s">
        <v>107</v>
      </c>
    </row>
    <row r="4" spans="1:35" s="52" customFormat="1" x14ac:dyDescent="0.25">
      <c r="A4" s="52" t="s">
        <v>44</v>
      </c>
      <c r="E4" s="52">
        <v>38</v>
      </c>
      <c r="F4" s="53">
        <f>F11*E4%</f>
        <v>6315952070.7144003</v>
      </c>
      <c r="G4" s="54">
        <v>2211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x14ac:dyDescent="0.25">
      <c r="A5" s="49" t="s">
        <v>45</v>
      </c>
      <c r="E5" s="49">
        <v>9</v>
      </c>
      <c r="F5" s="50">
        <f>F11*E5%</f>
        <v>1495883385.1691999</v>
      </c>
      <c r="G5" s="51">
        <v>2212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x14ac:dyDescent="0.25">
      <c r="A6" s="49" t="s">
        <v>48</v>
      </c>
      <c r="B6" s="49"/>
      <c r="C6" s="49"/>
      <c r="D6" s="49"/>
      <c r="E6" s="49">
        <v>4</v>
      </c>
      <c r="F6" s="50">
        <f>F11*E6%</f>
        <v>664837060.07520008</v>
      </c>
      <c r="G6" s="51">
        <v>2212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x14ac:dyDescent="0.25">
      <c r="A7" s="58" t="s">
        <v>47</v>
      </c>
      <c r="E7" s="58">
        <v>25</v>
      </c>
      <c r="F7" s="59">
        <f>F11*E7%</f>
        <v>4155231625.4700003</v>
      </c>
      <c r="G7" s="60">
        <v>2236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x14ac:dyDescent="0.25">
      <c r="A8" s="74" t="s">
        <v>46</v>
      </c>
      <c r="B8" s="74"/>
      <c r="C8" s="74"/>
      <c r="D8" s="74"/>
      <c r="E8" s="74">
        <v>3</v>
      </c>
      <c r="F8" s="75">
        <f>F11*E8%</f>
        <v>498627795.0564</v>
      </c>
      <c r="G8" s="76">
        <v>2247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74" t="s">
        <v>50</v>
      </c>
      <c r="B9" s="74"/>
      <c r="C9" s="74"/>
      <c r="D9" s="74"/>
      <c r="E9" s="74">
        <v>13</v>
      </c>
      <c r="F9" s="75">
        <f>F11*E9%</f>
        <v>2160720445.2444</v>
      </c>
      <c r="G9" s="76">
        <v>2247</v>
      </c>
    </row>
    <row r="10" spans="1:35" s="74" customFormat="1" x14ac:dyDescent="0.25">
      <c r="A10" s="44" t="s">
        <v>49</v>
      </c>
      <c r="B10" s="44"/>
      <c r="C10" s="44"/>
      <c r="D10" s="44"/>
      <c r="E10" s="44">
        <v>8</v>
      </c>
      <c r="F10" s="45">
        <f>F11*E10%</f>
        <v>1329674120.1504002</v>
      </c>
      <c r="G10" s="46">
        <v>2275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f>SUM(E4:E10)</f>
        <v>100</v>
      </c>
      <c r="F11" s="43">
        <f>+'[2]METRO VENTAS Y COMP '!$B$130</f>
        <v>16620926501.880001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topLeftCell="A4" workbookViewId="0">
      <selection activeCell="G12" sqref="G12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109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84"/>
      <c r="B9" s="84"/>
      <c r="C9" s="84"/>
      <c r="D9" s="84"/>
      <c r="E9" s="84"/>
      <c r="F9" s="87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84" t="s">
        <v>13</v>
      </c>
      <c r="B10" s="104" t="s">
        <v>14</v>
      </c>
      <c r="C10" s="104"/>
      <c r="D10" s="9"/>
      <c r="E10" s="9"/>
      <c r="F10" s="88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81">
        <f>+B19*B17</f>
        <v>30782896.591419999</v>
      </c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82">
        <f>+C19*C17</f>
        <v>23694729.613132499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82">
        <f>+D19*D17</f>
        <v>23289691.5000875</v>
      </c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82">
        <f>+E19*E17</f>
        <v>12961219.61744</v>
      </c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82">
        <f>+F19*F17</f>
        <v>14581372.069619998</v>
      </c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89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80">
        <v>0.01</v>
      </c>
      <c r="C17" s="29">
        <v>2.2499999999999999E-2</v>
      </c>
      <c r="D17" s="29">
        <v>1.15E-2</v>
      </c>
      <c r="E17" s="80">
        <v>0.01</v>
      </c>
      <c r="F17" s="29">
        <v>2.2499999999999999E-2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1</v>
      </c>
      <c r="B19" s="5">
        <f>+'02-2021'!F4</f>
        <v>3078289659.1419997</v>
      </c>
      <c r="C19" s="5">
        <f>+'02-2021'!F5+'02-2021'!F6</f>
        <v>1053099093.9169999</v>
      </c>
      <c r="D19" s="5">
        <f>+'02-2021'!F7</f>
        <v>2025190565.2249999</v>
      </c>
      <c r="E19" s="5">
        <f>+'02-2021'!F8+'02-2021'!F9</f>
        <v>1296121961.744</v>
      </c>
      <c r="F19" s="5">
        <f>+'02-2021'!F10</f>
        <v>648060980.87199998</v>
      </c>
      <c r="G19" s="5">
        <f t="shared" ref="G19" si="0">+B19+C19+D19+E19+F19</f>
        <v>8100762260.8999996</v>
      </c>
    </row>
    <row r="20" spans="1:14" x14ac:dyDescent="0.25">
      <c r="A20" s="39" t="s">
        <v>24</v>
      </c>
      <c r="B20" s="40">
        <f t="shared" ref="B20:G20" si="1">SUM(B19:B19)</f>
        <v>3078289659.1419997</v>
      </c>
      <c r="C20" s="40">
        <f t="shared" si="1"/>
        <v>1053099093.9169999</v>
      </c>
      <c r="D20" s="40">
        <f t="shared" si="1"/>
        <v>2025190565.2249999</v>
      </c>
      <c r="E20" s="40">
        <f t="shared" si="1"/>
        <v>1296121961.744</v>
      </c>
      <c r="F20" s="40">
        <f t="shared" si="1"/>
        <v>648060980.87199998</v>
      </c>
      <c r="G20" s="40">
        <f t="shared" si="1"/>
        <v>8100762260.8999996</v>
      </c>
    </row>
    <row r="21" spans="1:14" x14ac:dyDescent="0.25">
      <c r="F21" s="25"/>
    </row>
    <row r="23" spans="1:14" x14ac:dyDescent="0.25">
      <c r="B23" s="36">
        <f>+F11</f>
        <v>30782896.591419999</v>
      </c>
      <c r="C23" s="36">
        <f>+F12</f>
        <v>23694729.613132499</v>
      </c>
      <c r="D23" s="36">
        <f>+F13</f>
        <v>23289691.5000875</v>
      </c>
      <c r="E23" s="36">
        <v>22456333.600000001</v>
      </c>
      <c r="F23" s="36">
        <v>22456333.600000001</v>
      </c>
      <c r="G23" s="36">
        <f>SUM(B23:F23)</f>
        <v>122679984.90463999</v>
      </c>
    </row>
    <row r="25" spans="1:14" x14ac:dyDescent="0.25">
      <c r="F25" s="91" t="s">
        <v>110</v>
      </c>
      <c r="G25" s="36">
        <f>+G23*5%</f>
        <v>6133999.245232</v>
      </c>
      <c r="H25" s="90">
        <v>0.05</v>
      </c>
    </row>
    <row r="27" spans="1:14" x14ac:dyDescent="0.25">
      <c r="F27" s="92" t="s">
        <v>111</v>
      </c>
      <c r="G27" s="93">
        <f>+G23-G25</f>
        <v>116545985.65940799</v>
      </c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E10" sqref="E10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35" x14ac:dyDescent="0.25">
      <c r="A2" s="11" t="s">
        <v>107</v>
      </c>
    </row>
    <row r="4" spans="1:35" s="52" customFormat="1" x14ac:dyDescent="0.25">
      <c r="A4" s="52" t="s">
        <v>44</v>
      </c>
      <c r="E4" s="52">
        <v>38</v>
      </c>
      <c r="F4" s="53">
        <f>F11*E4%</f>
        <v>3078289659.1419997</v>
      </c>
      <c r="G4" s="54">
        <v>2211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x14ac:dyDescent="0.25">
      <c r="A5" s="49" t="s">
        <v>45</v>
      </c>
      <c r="E5" s="49">
        <v>9</v>
      </c>
      <c r="F5" s="50">
        <f>F11*E5%</f>
        <v>729068603.48099995</v>
      </c>
      <c r="G5" s="51">
        <v>2212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x14ac:dyDescent="0.25">
      <c r="A6" s="49" t="s">
        <v>48</v>
      </c>
      <c r="B6" s="49"/>
      <c r="C6" s="49"/>
      <c r="D6" s="49"/>
      <c r="E6" s="49">
        <v>4</v>
      </c>
      <c r="F6" s="50">
        <f>F11*E6%</f>
        <v>324030490.43599999</v>
      </c>
      <c r="G6" s="51">
        <v>2212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x14ac:dyDescent="0.25">
      <c r="A7" s="58" t="s">
        <v>47</v>
      </c>
      <c r="E7" s="58">
        <v>25</v>
      </c>
      <c r="F7" s="59">
        <f>F11*E7%</f>
        <v>2025190565.2249999</v>
      </c>
      <c r="G7" s="60">
        <v>2236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x14ac:dyDescent="0.25">
      <c r="A8" s="74" t="s">
        <v>46</v>
      </c>
      <c r="B8" s="74"/>
      <c r="C8" s="74"/>
      <c r="D8" s="74"/>
      <c r="E8" s="74">
        <v>3</v>
      </c>
      <c r="F8" s="75">
        <f>F11*E8%</f>
        <v>243022867.82699999</v>
      </c>
      <c r="G8" s="76">
        <v>2247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74" t="s">
        <v>50</v>
      </c>
      <c r="B9" s="74"/>
      <c r="C9" s="74"/>
      <c r="D9" s="74"/>
      <c r="E9" s="74">
        <v>13</v>
      </c>
      <c r="F9" s="75">
        <f>F11*E9%</f>
        <v>1053099093.9169999</v>
      </c>
      <c r="G9" s="76">
        <v>2247</v>
      </c>
    </row>
    <row r="10" spans="1:35" s="74" customFormat="1" x14ac:dyDescent="0.25">
      <c r="A10" s="44" t="s">
        <v>49</v>
      </c>
      <c r="B10" s="44"/>
      <c r="C10" s="44"/>
      <c r="D10" s="44"/>
      <c r="E10" s="44">
        <v>8</v>
      </c>
      <c r="F10" s="45">
        <f>F11*E10%</f>
        <v>648060980.87199998</v>
      </c>
      <c r="G10" s="46">
        <v>2275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f>SUM(E4:E10)</f>
        <v>100</v>
      </c>
      <c r="F11" s="43">
        <v>8100762260.8999996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workbookViewId="0">
      <selection activeCell="C18" sqref="C18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108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83"/>
      <c r="B9" s="83"/>
      <c r="C9" s="83"/>
      <c r="D9" s="83"/>
      <c r="E9" s="83"/>
      <c r="F9" s="83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83" t="s">
        <v>13</v>
      </c>
      <c r="B10" s="104" t="s">
        <v>14</v>
      </c>
      <c r="C10" s="104"/>
      <c r="D10" s="9"/>
      <c r="E10" s="9"/>
      <c r="F10" s="85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81">
        <f>+B19*B17</f>
        <v>31447079.875092</v>
      </c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82">
        <f>+C19*C17</f>
        <v>21900644.9130105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82">
        <f>+D19*D17</f>
        <v>16359968.9350181</v>
      </c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82">
        <f>+E19*E17</f>
        <v>13477319.946468001</v>
      </c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82">
        <f>+F19*F17</f>
        <v>13477319.946467999</v>
      </c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80">
        <v>0.01</v>
      </c>
      <c r="C17" s="29">
        <v>2.2499999999999999E-2</v>
      </c>
      <c r="D17" s="29">
        <v>1.15E-2</v>
      </c>
      <c r="E17" s="80">
        <v>0.01</v>
      </c>
      <c r="F17" s="29">
        <v>2.2499999999999999E-2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0</v>
      </c>
      <c r="B19" s="5">
        <f>+'01-2021'!F4</f>
        <v>3144707987.5092001</v>
      </c>
      <c r="C19" s="5">
        <f>+'01-2021'!F5+'01-2021'!F6</f>
        <v>973361996.13380003</v>
      </c>
      <c r="D19" s="5">
        <f>+'01-2021'!F7</f>
        <v>1422605994.3494</v>
      </c>
      <c r="E19" s="5">
        <f>+'01-2021'!F8+'01-2021'!F9</f>
        <v>1347731994.6468</v>
      </c>
      <c r="F19" s="5">
        <f>+'01-2021'!F10</f>
        <v>598991997.62080002</v>
      </c>
      <c r="G19" s="5">
        <f t="shared" ref="G19" si="0">+B19+C19+D19+E19+F19</f>
        <v>7487399970.2600002</v>
      </c>
    </row>
    <row r="20" spans="1:14" x14ac:dyDescent="0.25">
      <c r="A20" s="39" t="s">
        <v>24</v>
      </c>
      <c r="B20" s="40">
        <f t="shared" ref="B20:G20" si="1">SUM(B19:B19)</f>
        <v>3144707987.5092001</v>
      </c>
      <c r="C20" s="40">
        <f t="shared" si="1"/>
        <v>973361996.13380003</v>
      </c>
      <c r="D20" s="40">
        <f t="shared" si="1"/>
        <v>1422605994.3494</v>
      </c>
      <c r="E20" s="40">
        <f t="shared" si="1"/>
        <v>1347731994.6468</v>
      </c>
      <c r="F20" s="40">
        <f t="shared" si="1"/>
        <v>598991997.62080002</v>
      </c>
      <c r="G20" s="40">
        <f t="shared" si="1"/>
        <v>7487399970.2600002</v>
      </c>
    </row>
    <row r="21" spans="1:14" x14ac:dyDescent="0.25">
      <c r="F21" s="25"/>
    </row>
    <row r="27" spans="1:14" x14ac:dyDescent="0.25">
      <c r="F27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E5" sqref="E5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35" x14ac:dyDescent="0.25">
      <c r="A2" s="11" t="s">
        <v>107</v>
      </c>
    </row>
    <row r="4" spans="1:35" s="52" customFormat="1" x14ac:dyDescent="0.25">
      <c r="A4" s="52" t="s">
        <v>44</v>
      </c>
      <c r="E4" s="52">
        <v>42</v>
      </c>
      <c r="F4" s="53">
        <f>F11*E4%</f>
        <v>3144707987.5092001</v>
      </c>
      <c r="G4" s="54">
        <v>2211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x14ac:dyDescent="0.25">
      <c r="A5" s="49" t="s">
        <v>45</v>
      </c>
      <c r="E5" s="49">
        <v>9</v>
      </c>
      <c r="F5" s="50">
        <f>F11*E5%</f>
        <v>673865997.32340002</v>
      </c>
      <c r="G5" s="51">
        <v>2212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x14ac:dyDescent="0.25">
      <c r="A6" s="49" t="s">
        <v>48</v>
      </c>
      <c r="B6" s="49"/>
      <c r="C6" s="49"/>
      <c r="D6" s="49"/>
      <c r="E6" s="49">
        <v>4</v>
      </c>
      <c r="F6" s="50">
        <f>F11*E6%</f>
        <v>299495998.81040001</v>
      </c>
      <c r="G6" s="51">
        <v>2212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x14ac:dyDescent="0.25">
      <c r="A7" s="58" t="s">
        <v>47</v>
      </c>
      <c r="E7" s="58">
        <v>19</v>
      </c>
      <c r="F7" s="59">
        <f>F11*E7%</f>
        <v>1422605994.3494</v>
      </c>
      <c r="G7" s="60">
        <v>2236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x14ac:dyDescent="0.25">
      <c r="A8" s="74" t="s">
        <v>46</v>
      </c>
      <c r="B8" s="74"/>
      <c r="C8" s="74"/>
      <c r="D8" s="74"/>
      <c r="E8" s="74">
        <v>3</v>
      </c>
      <c r="F8" s="75">
        <f>F11*E8%</f>
        <v>224621999.10780001</v>
      </c>
      <c r="G8" s="76">
        <v>2247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74" t="s">
        <v>50</v>
      </c>
      <c r="B9" s="74"/>
      <c r="C9" s="74"/>
      <c r="D9" s="74"/>
      <c r="E9" s="74">
        <v>15</v>
      </c>
      <c r="F9" s="75">
        <f>F11*E9%</f>
        <v>1123109995.539</v>
      </c>
      <c r="G9" s="76">
        <v>2247</v>
      </c>
    </row>
    <row r="10" spans="1:35" s="74" customFormat="1" x14ac:dyDescent="0.25">
      <c r="A10" s="44" t="s">
        <v>49</v>
      </c>
      <c r="B10" s="44"/>
      <c r="C10" s="44"/>
      <c r="D10" s="44"/>
      <c r="E10" s="44">
        <v>8</v>
      </c>
      <c r="F10" s="45">
        <f>F11*E10%</f>
        <v>598991997.62080002</v>
      </c>
      <c r="G10" s="46">
        <v>2275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f>SUM(E4:E10)</f>
        <v>100</v>
      </c>
      <c r="F11" s="43">
        <v>7487399970.2600002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topLeftCell="A4" workbookViewId="0">
      <selection activeCell="G19" sqref="G19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105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79"/>
      <c r="B9" s="79"/>
      <c r="C9" s="79"/>
      <c r="D9" s="79"/>
      <c r="E9" s="79"/>
      <c r="F9" s="79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79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81">
        <f>+B19*B17</f>
        <v>35145129.603538506</v>
      </c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82">
        <f>+C19*C17</f>
        <v>22593297.602274749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82">
        <f>+D19*D17</f>
        <v>14212535.927584801</v>
      </c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82">
        <f>+E19*E17</f>
        <v>13517357.5398225</v>
      </c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82">
        <f>+F19*F17</f>
        <v>13903567.755246</v>
      </c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80">
        <v>0.01</v>
      </c>
      <c r="C17" s="29">
        <v>2.2499999999999999E-2</v>
      </c>
      <c r="D17" s="29">
        <v>1.15E-2</v>
      </c>
      <c r="E17" s="80">
        <v>0.01</v>
      </c>
      <c r="F17" s="29">
        <v>2.2499999999999999E-2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10</v>
      </c>
      <c r="B19" s="5">
        <f>+'12-2020'!F4</f>
        <v>3514512960.3538504</v>
      </c>
      <c r="C19" s="5">
        <f>+'12-2020'!F5+'12-2020'!F6</f>
        <v>1004146560.1011</v>
      </c>
      <c r="D19" s="5">
        <f>+'12-2020'!F7</f>
        <v>1235872689.3552001</v>
      </c>
      <c r="E19" s="5">
        <f>+'12-2020'!F8+'12-2020'!F9</f>
        <v>1351735753.98225</v>
      </c>
      <c r="F19" s="5">
        <f>+'12-2020'!F10</f>
        <v>617936344.67760003</v>
      </c>
      <c r="G19" s="5">
        <f t="shared" ref="G19" si="0">+B19+C19+D19+E19+F19</f>
        <v>7724204308.4700003</v>
      </c>
    </row>
    <row r="20" spans="1:14" x14ac:dyDescent="0.25">
      <c r="A20" s="39" t="s">
        <v>24</v>
      </c>
      <c r="B20" s="40">
        <f t="shared" ref="B20:G20" si="1">SUM(B19:B19)</f>
        <v>3514512960.3538504</v>
      </c>
      <c r="C20" s="40">
        <f t="shared" si="1"/>
        <v>1004146560.1011</v>
      </c>
      <c r="D20" s="40">
        <f t="shared" si="1"/>
        <v>1235872689.3552001</v>
      </c>
      <c r="E20" s="40">
        <f t="shared" si="1"/>
        <v>1351735753.98225</v>
      </c>
      <c r="F20" s="40">
        <f t="shared" si="1"/>
        <v>617936344.67760003</v>
      </c>
      <c r="G20" s="40">
        <f t="shared" si="1"/>
        <v>7724204308.4700003</v>
      </c>
    </row>
    <row r="21" spans="1:14" x14ac:dyDescent="0.25">
      <c r="F21" s="25"/>
    </row>
    <row r="27" spans="1:14" x14ac:dyDescent="0.25">
      <c r="F27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E4" sqref="E4:E10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35" x14ac:dyDescent="0.25">
      <c r="A2" s="11" t="s">
        <v>106</v>
      </c>
    </row>
    <row r="4" spans="1:35" s="52" customFormat="1" x14ac:dyDescent="0.25">
      <c r="A4" s="52" t="s">
        <v>44</v>
      </c>
      <c r="E4" s="52">
        <v>45.5</v>
      </c>
      <c r="F4" s="53">
        <f>F11*E4%</f>
        <v>3514512960.3538504</v>
      </c>
      <c r="G4" s="54">
        <v>2211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x14ac:dyDescent="0.25">
      <c r="A5" s="49" t="s">
        <v>45</v>
      </c>
      <c r="E5" s="49">
        <v>9</v>
      </c>
      <c r="F5" s="50">
        <f>F11*E5%</f>
        <v>695178387.76230001</v>
      </c>
      <c r="G5" s="51">
        <v>2212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x14ac:dyDescent="0.25">
      <c r="A6" s="49" t="s">
        <v>48</v>
      </c>
      <c r="B6" s="49"/>
      <c r="C6" s="49"/>
      <c r="D6" s="49"/>
      <c r="E6" s="49">
        <v>4</v>
      </c>
      <c r="F6" s="50">
        <f>F11*E6%</f>
        <v>308968172.33880001</v>
      </c>
      <c r="G6" s="51">
        <v>2212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x14ac:dyDescent="0.25">
      <c r="A7" s="58" t="s">
        <v>47</v>
      </c>
      <c r="E7" s="58">
        <v>16</v>
      </c>
      <c r="F7" s="59">
        <f>F11*E7%</f>
        <v>1235872689.3552001</v>
      </c>
      <c r="G7" s="60">
        <v>2236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x14ac:dyDescent="0.25">
      <c r="A8" s="74" t="s">
        <v>46</v>
      </c>
      <c r="B8" s="74"/>
      <c r="C8" s="74"/>
      <c r="D8" s="74"/>
      <c r="E8" s="74">
        <v>3</v>
      </c>
      <c r="F8" s="75">
        <f>F11*E8%</f>
        <v>231726129.25409999</v>
      </c>
      <c r="G8" s="76">
        <v>2247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74" t="s">
        <v>50</v>
      </c>
      <c r="B9" s="74"/>
      <c r="C9" s="74"/>
      <c r="D9" s="74"/>
      <c r="E9" s="74">
        <v>14.5</v>
      </c>
      <c r="F9" s="75">
        <f>F11*E9%</f>
        <v>1120009624.7281499</v>
      </c>
      <c r="G9" s="76">
        <v>2247</v>
      </c>
    </row>
    <row r="10" spans="1:35" s="74" customFormat="1" x14ac:dyDescent="0.25">
      <c r="A10" s="44" t="s">
        <v>49</v>
      </c>
      <c r="B10" s="44"/>
      <c r="C10" s="44"/>
      <c r="D10" s="44"/>
      <c r="E10" s="44">
        <v>8</v>
      </c>
      <c r="F10" s="45">
        <f>F11*E10%</f>
        <v>617936344.67760003</v>
      </c>
      <c r="G10" s="46">
        <v>2275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f>SUM(E4:E10)</f>
        <v>100</v>
      </c>
      <c r="F11" s="43">
        <v>7724204308.4700003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workbookViewId="0">
      <selection activeCell="H11" sqref="H11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103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78"/>
      <c r="B9" s="78"/>
      <c r="C9" s="78"/>
      <c r="D9" s="78"/>
      <c r="E9" s="78"/>
      <c r="F9" s="78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78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9</v>
      </c>
      <c r="B19" s="5">
        <f>+'11-2020 '!F4</f>
        <v>2760299241.2529502</v>
      </c>
      <c r="C19" s="5">
        <f>+'11-2020 '!F5+'11-2020 '!F6</f>
        <v>526774664.36124998</v>
      </c>
      <c r="D19" s="5">
        <f>+'11-2020 '!F7</f>
        <v>695342556.95685005</v>
      </c>
      <c r="E19" s="5">
        <f>+'11-2020 '!F8+'11-2020 '!F9</f>
        <v>189638879.17005</v>
      </c>
      <c r="F19" s="5">
        <f>+'11-2020 '!F10</f>
        <v>42141973.148900002</v>
      </c>
      <c r="G19" s="5">
        <f t="shared" ref="G19" si="0">+B19+C19+D19+E19+F19</f>
        <v>4214197314.8900003</v>
      </c>
    </row>
    <row r="20" spans="1:14" x14ac:dyDescent="0.25">
      <c r="A20" s="39" t="s">
        <v>24</v>
      </c>
      <c r="B20" s="40">
        <f t="shared" ref="B20:G20" si="1">SUM(B19:B19)</f>
        <v>2760299241.2529502</v>
      </c>
      <c r="C20" s="40">
        <f t="shared" si="1"/>
        <v>526774664.36124998</v>
      </c>
      <c r="D20" s="40">
        <f t="shared" si="1"/>
        <v>695342556.95685005</v>
      </c>
      <c r="E20" s="40">
        <f t="shared" si="1"/>
        <v>189638879.17005</v>
      </c>
      <c r="F20" s="40">
        <f t="shared" si="1"/>
        <v>42141973.148900002</v>
      </c>
      <c r="G20" s="40">
        <f t="shared" si="1"/>
        <v>4214197314.8900003</v>
      </c>
    </row>
    <row r="21" spans="1:14" x14ac:dyDescent="0.25">
      <c r="F21" s="25"/>
    </row>
    <row r="27" spans="1:14" x14ac:dyDescent="0.25">
      <c r="F27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F11" sqref="F11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35" x14ac:dyDescent="0.25">
      <c r="A2" s="11" t="s">
        <v>104</v>
      </c>
    </row>
    <row r="4" spans="1:35" s="52" customFormat="1" x14ac:dyDescent="0.25">
      <c r="A4" s="52" t="s">
        <v>44</v>
      </c>
      <c r="E4" s="52">
        <v>65.5</v>
      </c>
      <c r="F4" s="53">
        <f>F11*E4%</f>
        <v>2760299241.2529502</v>
      </c>
      <c r="G4" s="54">
        <v>2211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x14ac:dyDescent="0.25">
      <c r="A5" s="49" t="s">
        <v>45</v>
      </c>
      <c r="E5" s="49">
        <v>10.5</v>
      </c>
      <c r="F5" s="50">
        <f>F11*E5%</f>
        <v>442490718.06344998</v>
      </c>
      <c r="G5" s="51">
        <v>2212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x14ac:dyDescent="0.25">
      <c r="A6" s="49" t="s">
        <v>48</v>
      </c>
      <c r="B6" s="49"/>
      <c r="C6" s="49"/>
      <c r="D6" s="49"/>
      <c r="E6" s="49">
        <v>2</v>
      </c>
      <c r="F6" s="50">
        <f>F11*E6%</f>
        <v>84283946.297800004</v>
      </c>
      <c r="G6" s="51">
        <v>2212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x14ac:dyDescent="0.25">
      <c r="A7" s="58" t="s">
        <v>47</v>
      </c>
      <c r="E7" s="58">
        <v>16.5</v>
      </c>
      <c r="F7" s="59">
        <f>F11*E7%</f>
        <v>695342556.95685005</v>
      </c>
      <c r="G7" s="60">
        <v>2236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x14ac:dyDescent="0.25">
      <c r="A8" s="74" t="s">
        <v>46</v>
      </c>
      <c r="B8" s="74"/>
      <c r="C8" s="74"/>
      <c r="D8" s="74"/>
      <c r="E8" s="74">
        <v>3</v>
      </c>
      <c r="F8" s="75">
        <f>F11*E8%</f>
        <v>126425919.44669999</v>
      </c>
      <c r="G8" s="76">
        <v>2247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74" t="s">
        <v>50</v>
      </c>
      <c r="B9" s="74"/>
      <c r="C9" s="74"/>
      <c r="D9" s="74"/>
      <c r="E9" s="74">
        <v>1.5</v>
      </c>
      <c r="F9" s="75">
        <f>F11*E9%</f>
        <v>63212959.723349996</v>
      </c>
      <c r="G9" s="76">
        <v>2247</v>
      </c>
    </row>
    <row r="10" spans="1:35" s="74" customFormat="1" x14ac:dyDescent="0.25">
      <c r="A10" s="44" t="s">
        <v>49</v>
      </c>
      <c r="B10" s="44"/>
      <c r="C10" s="44"/>
      <c r="D10" s="44"/>
      <c r="E10" s="44">
        <v>1</v>
      </c>
      <c r="F10" s="45">
        <f>F11*E10%</f>
        <v>42141973.148900002</v>
      </c>
      <c r="G10" s="46">
        <v>2275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v>100</v>
      </c>
      <c r="F11" s="43">
        <v>4214197314.8899999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workbookViewId="0">
      <selection activeCell="F11" sqref="F11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102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77"/>
      <c r="B9" s="77"/>
      <c r="C9" s="77"/>
      <c r="D9" s="77"/>
      <c r="E9" s="77"/>
      <c r="F9" s="77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77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8</v>
      </c>
      <c r="B19" s="5">
        <f>+'10-2020 '!F4</f>
        <v>2050302506.8922501</v>
      </c>
      <c r="C19" s="5">
        <f>+'10-2020 '!F5+'10-2020 '!F6</f>
        <v>391279104.36874998</v>
      </c>
      <c r="D19" s="5">
        <f>+'10-2020 '!F7</f>
        <v>516488417.76674998</v>
      </c>
      <c r="E19" s="5">
        <f>+'10-2020 '!F8+'10-2020 '!F9</f>
        <v>140860477.57274997</v>
      </c>
      <c r="F19" s="5">
        <f>+'10-2020 '!F10</f>
        <v>31302328.3495</v>
      </c>
      <c r="G19" s="5">
        <f t="shared" ref="G19" si="0">+B19+C19+D19+E19+F19</f>
        <v>3130232834.9500003</v>
      </c>
    </row>
    <row r="20" spans="1:14" x14ac:dyDescent="0.25">
      <c r="A20" s="39" t="s">
        <v>24</v>
      </c>
      <c r="B20" s="40">
        <f t="shared" ref="B20:G20" si="1">SUM(B19:B19)</f>
        <v>2050302506.8922501</v>
      </c>
      <c r="C20" s="40">
        <f t="shared" si="1"/>
        <v>391279104.36874998</v>
      </c>
      <c r="D20" s="40">
        <f t="shared" si="1"/>
        <v>516488417.76674998</v>
      </c>
      <c r="E20" s="40">
        <f t="shared" si="1"/>
        <v>140860477.57274997</v>
      </c>
      <c r="F20" s="40">
        <f t="shared" si="1"/>
        <v>31302328.3495</v>
      </c>
      <c r="G20" s="40">
        <f t="shared" si="1"/>
        <v>3130232834.9500003</v>
      </c>
    </row>
    <row r="21" spans="1:14" x14ac:dyDescent="0.25">
      <c r="F21" s="25"/>
    </row>
    <row r="27" spans="1:14" x14ac:dyDescent="0.25">
      <c r="F27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F8" sqref="F8"/>
    </sheetView>
  </sheetViews>
  <sheetFormatPr baseColWidth="10" defaultRowHeight="15" x14ac:dyDescent="0.25"/>
  <cols>
    <col min="1" max="5" width="11.42578125" style="11"/>
    <col min="6" max="6" width="16.42578125" style="11" bestFit="1" customWidth="1"/>
    <col min="7" max="16384" width="11.42578125" style="11"/>
  </cols>
  <sheetData>
    <row r="2" spans="1:35" x14ac:dyDescent="0.25">
      <c r="A2" s="11" t="s">
        <v>107</v>
      </c>
    </row>
    <row r="4" spans="1:35" s="52" customFormat="1" ht="15.75" x14ac:dyDescent="0.25">
      <c r="A4" s="52" t="s">
        <v>44</v>
      </c>
      <c r="E4" s="52">
        <v>36</v>
      </c>
      <c r="F4" s="53">
        <f>F11*E4%</f>
        <v>12531228147.932398</v>
      </c>
      <c r="G4" s="98" t="s">
        <v>115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ht="15.75" x14ac:dyDescent="0.25">
      <c r="A5" s="49" t="s">
        <v>45</v>
      </c>
      <c r="E5" s="49">
        <v>9</v>
      </c>
      <c r="F5" s="50">
        <f>F11*E5%</f>
        <v>3132807036.9830995</v>
      </c>
      <c r="G5" s="99" t="s">
        <v>116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ht="15.75" x14ac:dyDescent="0.25">
      <c r="A6" s="49" t="s">
        <v>48</v>
      </c>
      <c r="B6" s="49"/>
      <c r="C6" s="49"/>
      <c r="D6" s="49"/>
      <c r="E6" s="49">
        <v>4</v>
      </c>
      <c r="F6" s="50">
        <f>F11*E6%</f>
        <v>1392358683.1035998</v>
      </c>
      <c r="G6" s="99" t="s">
        <v>116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ht="15.75" x14ac:dyDescent="0.25">
      <c r="A7" s="58" t="s">
        <v>47</v>
      </c>
      <c r="E7" s="58">
        <v>25</v>
      </c>
      <c r="F7" s="59">
        <f>F11*E7%</f>
        <v>8702241769.3974991</v>
      </c>
      <c r="G7" s="100" t="s">
        <v>117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ht="15.75" x14ac:dyDescent="0.25">
      <c r="A8" s="74" t="s">
        <v>46</v>
      </c>
      <c r="B8" s="74"/>
      <c r="C8" s="74"/>
      <c r="D8" s="74"/>
      <c r="E8" s="74">
        <v>5</v>
      </c>
      <c r="F8" s="75">
        <f>F11*E8%</f>
        <v>1740448353.8794999</v>
      </c>
      <c r="G8" s="101" t="s">
        <v>118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ht="15.75" x14ac:dyDescent="0.25">
      <c r="A9" s="74" t="s">
        <v>50</v>
      </c>
      <c r="B9" s="74"/>
      <c r="C9" s="74"/>
      <c r="D9" s="74"/>
      <c r="E9" s="74">
        <v>12</v>
      </c>
      <c r="F9" s="75">
        <f>F11*E9%</f>
        <v>4177076049.3107996</v>
      </c>
      <c r="G9" s="101" t="s">
        <v>118</v>
      </c>
    </row>
    <row r="10" spans="1:35" s="74" customFormat="1" ht="15.75" x14ac:dyDescent="0.25">
      <c r="A10" s="44" t="s">
        <v>49</v>
      </c>
      <c r="B10" s="44"/>
      <c r="C10" s="44"/>
      <c r="D10" s="44"/>
      <c r="E10" s="44">
        <v>9</v>
      </c>
      <c r="F10" s="45">
        <f>F11*E10%</f>
        <v>3132807036.9830995</v>
      </c>
      <c r="G10" s="102" t="s">
        <v>119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f>SUM(E4:E10)</f>
        <v>100</v>
      </c>
      <c r="F11" s="43">
        <f>+'[1]METRO VENTAS Y COMP '!$B$136+'[1]METRO VENTAS Y COMP '!$B$137</f>
        <v>34808967077.589996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F18" sqref="F18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35" x14ac:dyDescent="0.25">
      <c r="A2" s="11" t="s">
        <v>101</v>
      </c>
    </row>
    <row r="4" spans="1:35" s="52" customFormat="1" x14ac:dyDescent="0.25">
      <c r="A4" s="52" t="s">
        <v>44</v>
      </c>
      <c r="E4" s="52">
        <v>65.5</v>
      </c>
      <c r="F4" s="53">
        <f>F11*E4%</f>
        <v>2050302506.8922501</v>
      </c>
      <c r="G4" s="54">
        <v>2211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x14ac:dyDescent="0.25">
      <c r="A5" s="49" t="s">
        <v>45</v>
      </c>
      <c r="E5" s="49">
        <v>10.5</v>
      </c>
      <c r="F5" s="50">
        <f>F11*E5%</f>
        <v>328674447.66974998</v>
      </c>
      <c r="G5" s="51">
        <v>2212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x14ac:dyDescent="0.25">
      <c r="A6" s="49" t="s">
        <v>48</v>
      </c>
      <c r="B6" s="49"/>
      <c r="C6" s="49"/>
      <c r="D6" s="49"/>
      <c r="E6" s="49">
        <v>2</v>
      </c>
      <c r="F6" s="50">
        <f>F11*E6%</f>
        <v>62604656.699000001</v>
      </c>
      <c r="G6" s="51">
        <v>2212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x14ac:dyDescent="0.25">
      <c r="A7" s="58" t="s">
        <v>47</v>
      </c>
      <c r="E7" s="58">
        <v>16.5</v>
      </c>
      <c r="F7" s="59">
        <f>F11*E7%</f>
        <v>516488417.76674998</v>
      </c>
      <c r="G7" s="60">
        <v>2236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x14ac:dyDescent="0.25">
      <c r="A8" s="74" t="s">
        <v>46</v>
      </c>
      <c r="B8" s="74"/>
      <c r="C8" s="74"/>
      <c r="D8" s="74"/>
      <c r="E8" s="74">
        <v>3</v>
      </c>
      <c r="F8" s="75">
        <f>F11*E8%</f>
        <v>93906985.048499987</v>
      </c>
      <c r="G8" s="76">
        <v>2247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74" t="s">
        <v>50</v>
      </c>
      <c r="B9" s="74"/>
      <c r="C9" s="74"/>
      <c r="D9" s="74"/>
      <c r="E9" s="74">
        <v>1.5</v>
      </c>
      <c r="F9" s="75">
        <f>F11*E9%</f>
        <v>46953492.524249993</v>
      </c>
      <c r="G9" s="76">
        <v>2247</v>
      </c>
    </row>
    <row r="10" spans="1:35" s="74" customFormat="1" x14ac:dyDescent="0.25">
      <c r="A10" s="44" t="s">
        <v>49</v>
      </c>
      <c r="B10" s="44"/>
      <c r="C10" s="44"/>
      <c r="D10" s="44"/>
      <c r="E10" s="44">
        <v>1</v>
      </c>
      <c r="F10" s="45">
        <f>F11*E10%</f>
        <v>31302328.3495</v>
      </c>
      <c r="G10" s="46">
        <v>2275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v>100</v>
      </c>
      <c r="F11" s="43">
        <v>3130232834.9499998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workbookViewId="0">
      <selection activeCell="G11" sqref="G11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100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73"/>
      <c r="B9" s="73"/>
      <c r="C9" s="73"/>
      <c r="D9" s="73"/>
      <c r="E9" s="73"/>
      <c r="F9" s="73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73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8</v>
      </c>
      <c r="B19" s="5">
        <f>+'09-2020  '!F4</f>
        <v>1786328079.9881501</v>
      </c>
      <c r="C19" s="5">
        <f>+'09-2020  '!F5+'09-2020  '!F6</f>
        <v>340902305.34125</v>
      </c>
      <c r="D19" s="5">
        <f>+'09-2020  '!F7</f>
        <v>449991043.05045003</v>
      </c>
      <c r="E19" s="5">
        <f>+'09-2020  '!F8+'09-2020  '!F9</f>
        <v>122724829.92285001</v>
      </c>
      <c r="F19" s="5">
        <f>+'09-2020  '!F10</f>
        <v>27272184.427300002</v>
      </c>
      <c r="G19" s="5">
        <f t="shared" ref="G19" si="0">+B19+C19+D19+E19+F19</f>
        <v>2727218442.73</v>
      </c>
    </row>
    <row r="20" spans="1:14" x14ac:dyDescent="0.25">
      <c r="A20" s="39" t="s">
        <v>24</v>
      </c>
      <c r="B20" s="40">
        <f t="shared" ref="B20:G20" si="1">SUM(B19:B19)</f>
        <v>1786328079.9881501</v>
      </c>
      <c r="C20" s="40">
        <f t="shared" si="1"/>
        <v>340902305.34125</v>
      </c>
      <c r="D20" s="40">
        <f t="shared" si="1"/>
        <v>449991043.05045003</v>
      </c>
      <c r="E20" s="40">
        <f t="shared" si="1"/>
        <v>122724829.92285001</v>
      </c>
      <c r="F20" s="40">
        <f t="shared" si="1"/>
        <v>27272184.427300002</v>
      </c>
      <c r="G20" s="40">
        <f t="shared" si="1"/>
        <v>2727218442.73</v>
      </c>
    </row>
    <row r="21" spans="1:14" x14ac:dyDescent="0.25">
      <c r="F21" s="25"/>
    </row>
    <row r="27" spans="1:14" x14ac:dyDescent="0.25">
      <c r="F27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G18" sqref="G18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35" x14ac:dyDescent="0.25">
      <c r="A2" s="11" t="s">
        <v>99</v>
      </c>
    </row>
    <row r="4" spans="1:35" s="52" customFormat="1" x14ac:dyDescent="0.25">
      <c r="A4" s="52" t="s">
        <v>44</v>
      </c>
      <c r="E4" s="52">
        <v>65.5</v>
      </c>
      <c r="F4" s="53">
        <f>F11*E4%</f>
        <v>1786328079.9881501</v>
      </c>
      <c r="G4" s="54">
        <v>2211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x14ac:dyDescent="0.25">
      <c r="A5" s="49" t="s">
        <v>45</v>
      </c>
      <c r="E5" s="49">
        <v>10.5</v>
      </c>
      <c r="F5" s="50">
        <f>F11*E5%</f>
        <v>286357936.48664999</v>
      </c>
      <c r="G5" s="51">
        <v>2212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x14ac:dyDescent="0.25">
      <c r="A6" s="49" t="s">
        <v>48</v>
      </c>
      <c r="B6" s="49"/>
      <c r="C6" s="49"/>
      <c r="D6" s="49"/>
      <c r="E6" s="49">
        <v>2</v>
      </c>
      <c r="F6" s="50">
        <f>F11*E6%</f>
        <v>54544368.854600005</v>
      </c>
      <c r="G6" s="51">
        <v>2212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x14ac:dyDescent="0.25">
      <c r="A7" s="58" t="s">
        <v>47</v>
      </c>
      <c r="E7" s="58">
        <v>16.5</v>
      </c>
      <c r="F7" s="59">
        <f>F11*E7%</f>
        <v>449991043.05045003</v>
      </c>
      <c r="G7" s="60">
        <v>2236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x14ac:dyDescent="0.25">
      <c r="A8" s="74" t="s">
        <v>46</v>
      </c>
      <c r="B8" s="74"/>
      <c r="C8" s="74"/>
      <c r="D8" s="74"/>
      <c r="E8" s="74">
        <v>3</v>
      </c>
      <c r="F8" s="75">
        <f>F11*E8%</f>
        <v>81816553.281900004</v>
      </c>
      <c r="G8" s="76">
        <v>2247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74" t="s">
        <v>50</v>
      </c>
      <c r="B9" s="74"/>
      <c r="C9" s="74"/>
      <c r="D9" s="74"/>
      <c r="E9" s="74">
        <v>1.5</v>
      </c>
      <c r="F9" s="75">
        <f>F11*E9%</f>
        <v>40908276.640950002</v>
      </c>
      <c r="G9" s="76">
        <v>2247</v>
      </c>
    </row>
    <row r="10" spans="1:35" s="74" customFormat="1" x14ac:dyDescent="0.25">
      <c r="A10" s="44" t="s">
        <v>49</v>
      </c>
      <c r="B10" s="44"/>
      <c r="C10" s="44"/>
      <c r="D10" s="44"/>
      <c r="E10" s="44">
        <v>1</v>
      </c>
      <c r="F10" s="45">
        <f>F11*E10%</f>
        <v>27272184.427300002</v>
      </c>
      <c r="G10" s="46">
        <v>2275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v>100</v>
      </c>
      <c r="F11" s="43">
        <v>2727218442.73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workbookViewId="0">
      <selection activeCell="E23" sqref="E23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97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72"/>
      <c r="B9" s="72"/>
      <c r="C9" s="72"/>
      <c r="D9" s="72"/>
      <c r="E9" s="72"/>
      <c r="F9" s="72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72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6</v>
      </c>
      <c r="B19" s="5">
        <f>+'08-2020 '!F4</f>
        <v>1401773911.35935</v>
      </c>
      <c r="C19" s="5">
        <f>+'08-2020 '!F5+'08-2020 '!F6</f>
        <v>267514105.22125</v>
      </c>
      <c r="D19" s="5">
        <f>+'08-2020 '!F7</f>
        <v>353118618.89205003</v>
      </c>
      <c r="E19" s="5">
        <f>+'08-2020 '!F8+'08-2020 '!F9</f>
        <v>96305077.879649997</v>
      </c>
      <c r="F19" s="5">
        <f>+'08-2020 '!F10</f>
        <v>21401128.4177</v>
      </c>
      <c r="G19" s="5">
        <f t="shared" ref="G19" si="0">+B19+C19+D19+E19+F19</f>
        <v>2140112841.7700002</v>
      </c>
    </row>
    <row r="20" spans="1:14" x14ac:dyDescent="0.25">
      <c r="A20" s="39" t="s">
        <v>24</v>
      </c>
      <c r="B20" s="40">
        <f t="shared" ref="B20:G20" si="1">SUM(B19:B19)</f>
        <v>1401773911.35935</v>
      </c>
      <c r="C20" s="40">
        <f t="shared" si="1"/>
        <v>267514105.22125</v>
      </c>
      <c r="D20" s="40">
        <f t="shared" si="1"/>
        <v>353118618.89205003</v>
      </c>
      <c r="E20" s="40">
        <f t="shared" si="1"/>
        <v>96305077.879649997</v>
      </c>
      <c r="F20" s="40">
        <f t="shared" si="1"/>
        <v>21401128.4177</v>
      </c>
      <c r="G20" s="40">
        <f t="shared" si="1"/>
        <v>2140112841.7700002</v>
      </c>
    </row>
    <row r="21" spans="1:14" x14ac:dyDescent="0.25">
      <c r="F21" s="25"/>
    </row>
    <row r="27" spans="1:14" x14ac:dyDescent="0.25">
      <c r="F27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F17" sqref="F17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35" x14ac:dyDescent="0.25">
      <c r="A2" s="11" t="s">
        <v>98</v>
      </c>
    </row>
    <row r="4" spans="1:35" s="52" customFormat="1" x14ac:dyDescent="0.25">
      <c r="A4" s="52" t="s">
        <v>44</v>
      </c>
      <c r="E4" s="52">
        <v>65.5</v>
      </c>
      <c r="F4" s="53">
        <f>F11*E4%</f>
        <v>1401773911.35935</v>
      </c>
      <c r="G4" s="54">
        <v>2211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x14ac:dyDescent="0.25">
      <c r="A5" s="49" t="s">
        <v>45</v>
      </c>
      <c r="E5" s="49">
        <v>10.5</v>
      </c>
      <c r="F5" s="50">
        <f>F11*E5%</f>
        <v>224711848.38584998</v>
      </c>
      <c r="G5" s="51">
        <v>2212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x14ac:dyDescent="0.25">
      <c r="A6" s="49" t="s">
        <v>48</v>
      </c>
      <c r="B6" s="49"/>
      <c r="C6" s="49"/>
      <c r="D6" s="49"/>
      <c r="E6" s="49">
        <v>2</v>
      </c>
      <c r="F6" s="50">
        <f>F11*E6%</f>
        <v>42802256.8354</v>
      </c>
      <c r="G6" s="51">
        <v>2212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x14ac:dyDescent="0.25">
      <c r="A7" s="58" t="s">
        <v>47</v>
      </c>
      <c r="E7" s="58">
        <v>16.5</v>
      </c>
      <c r="F7" s="59">
        <f>F11*E7%</f>
        <v>353118618.89205003</v>
      </c>
      <c r="G7" s="60">
        <v>2236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x14ac:dyDescent="0.25">
      <c r="A8" s="74" t="s">
        <v>46</v>
      </c>
      <c r="B8" s="74"/>
      <c r="C8" s="74"/>
      <c r="D8" s="74"/>
      <c r="E8" s="74">
        <v>3</v>
      </c>
      <c r="F8" s="75">
        <f>F11*E8%</f>
        <v>64203385.2531</v>
      </c>
      <c r="G8" s="76">
        <v>2247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74" t="s">
        <v>50</v>
      </c>
      <c r="B9" s="74"/>
      <c r="C9" s="74"/>
      <c r="D9" s="74"/>
      <c r="E9" s="74">
        <v>1.5</v>
      </c>
      <c r="F9" s="75">
        <f>F11*E9%</f>
        <v>32101692.62655</v>
      </c>
      <c r="G9" s="76">
        <v>2247</v>
      </c>
    </row>
    <row r="10" spans="1:35" s="74" customFormat="1" x14ac:dyDescent="0.25">
      <c r="A10" s="44" t="s">
        <v>49</v>
      </c>
      <c r="B10" s="44"/>
      <c r="C10" s="44"/>
      <c r="D10" s="44"/>
      <c r="E10" s="44">
        <v>1</v>
      </c>
      <c r="F10" s="45">
        <f>F11*E10%</f>
        <v>21401128.4177</v>
      </c>
      <c r="G10" s="46">
        <v>2275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v>100</v>
      </c>
      <c r="F11" s="43">
        <v>2140112841.77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sortState ref="A4:H10">
    <sortCondition ref="G4:G10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7"/>
  <sheetViews>
    <sheetView workbookViewId="0">
      <selection activeCell="G15" sqref="G15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95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71"/>
      <c r="B9" s="71"/>
      <c r="C9" s="71"/>
      <c r="D9" s="71"/>
      <c r="E9" s="71"/>
      <c r="F9" s="71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71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6</v>
      </c>
      <c r="B19" s="5">
        <f>+'07-2020 '!F4</f>
        <v>888621933.64174998</v>
      </c>
      <c r="C19" s="5">
        <f>+'07-2020 '!F5+'07-2020 '!F8</f>
        <v>169584338.48124999</v>
      </c>
      <c r="D19" s="5">
        <f>+'07-2020 '!F7</f>
        <v>223851326.79525</v>
      </c>
      <c r="E19" s="5">
        <f>+'07-2020 '!F6+'07-2020 '!F10</f>
        <v>61050361.853249989</v>
      </c>
      <c r="F19" s="5">
        <f>+'07-2020 '!F9</f>
        <v>13566747.078499999</v>
      </c>
      <c r="G19" s="5">
        <f t="shared" ref="G19" si="0">+B19+C19+D19+E19+F19</f>
        <v>1356674707.8499999</v>
      </c>
    </row>
    <row r="20" spans="1:14" x14ac:dyDescent="0.25">
      <c r="A20" s="39" t="s">
        <v>24</v>
      </c>
      <c r="B20" s="40">
        <f t="shared" ref="B20:G20" si="1">SUM(B19:B19)</f>
        <v>888621933.64174998</v>
      </c>
      <c r="C20" s="40">
        <f t="shared" si="1"/>
        <v>169584338.48124999</v>
      </c>
      <c r="D20" s="40">
        <f t="shared" si="1"/>
        <v>223851326.79525</v>
      </c>
      <c r="E20" s="40">
        <f t="shared" si="1"/>
        <v>61050361.853249989</v>
      </c>
      <c r="F20" s="40">
        <f t="shared" si="1"/>
        <v>13566747.078499999</v>
      </c>
      <c r="G20" s="40">
        <f t="shared" si="1"/>
        <v>1356674707.8499999</v>
      </c>
    </row>
    <row r="21" spans="1:14" x14ac:dyDescent="0.25">
      <c r="F21" s="25"/>
    </row>
    <row r="27" spans="1:14" x14ac:dyDescent="0.25">
      <c r="F27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F10" sqref="F10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8" x14ac:dyDescent="0.25">
      <c r="A2" s="11" t="s">
        <v>96</v>
      </c>
    </row>
    <row r="4" spans="1:8" s="52" customFormat="1" x14ac:dyDescent="0.25">
      <c r="A4" s="52" t="s">
        <v>44</v>
      </c>
      <c r="E4" s="52">
        <v>65.5</v>
      </c>
      <c r="F4" s="53">
        <f>F11*E4%</f>
        <v>888621933.64174998</v>
      </c>
      <c r="G4" s="54">
        <v>2211</v>
      </c>
    </row>
    <row r="5" spans="1:8" s="49" customFormat="1" x14ac:dyDescent="0.25">
      <c r="A5" s="49" t="s">
        <v>45</v>
      </c>
      <c r="E5" s="49">
        <v>10.5</v>
      </c>
      <c r="F5" s="50">
        <f>F11*E5%</f>
        <v>142450844.32424998</v>
      </c>
      <c r="G5" s="51">
        <v>2212</v>
      </c>
    </row>
    <row r="6" spans="1:8" x14ac:dyDescent="0.25">
      <c r="A6" s="47" t="s">
        <v>46</v>
      </c>
      <c r="B6" s="47"/>
      <c r="C6" s="47"/>
      <c r="D6" s="47"/>
      <c r="E6" s="47">
        <v>3</v>
      </c>
      <c r="F6" s="42">
        <f>F11*E6%</f>
        <v>40700241.235499993</v>
      </c>
      <c r="G6" s="48">
        <v>2247</v>
      </c>
      <c r="H6" s="47"/>
    </row>
    <row r="7" spans="1:8" s="58" customFormat="1" x14ac:dyDescent="0.25">
      <c r="A7" s="58" t="s">
        <v>47</v>
      </c>
      <c r="E7" s="58">
        <v>16.5</v>
      </c>
      <c r="F7" s="59">
        <f>F11*E7%</f>
        <v>223851326.79525</v>
      </c>
      <c r="G7" s="60">
        <v>2236</v>
      </c>
    </row>
    <row r="8" spans="1:8" s="49" customFormat="1" x14ac:dyDescent="0.25">
      <c r="A8" s="49" t="s">
        <v>48</v>
      </c>
      <c r="E8" s="49">
        <v>2</v>
      </c>
      <c r="F8" s="50">
        <f>F11*E8%</f>
        <v>27133494.156999998</v>
      </c>
      <c r="G8" s="51">
        <v>2212</v>
      </c>
    </row>
    <row r="9" spans="1:8" x14ac:dyDescent="0.25">
      <c r="A9" s="44" t="s">
        <v>49</v>
      </c>
      <c r="B9" s="44"/>
      <c r="C9" s="44"/>
      <c r="D9" s="44"/>
      <c r="E9" s="44">
        <v>1</v>
      </c>
      <c r="F9" s="45">
        <f>F11*E9%</f>
        <v>13566747.078499999</v>
      </c>
      <c r="G9" s="46">
        <v>2275</v>
      </c>
      <c r="H9" s="44"/>
    </row>
    <row r="10" spans="1:8" s="55" customFormat="1" x14ac:dyDescent="0.25">
      <c r="A10" s="55" t="s">
        <v>50</v>
      </c>
      <c r="E10" s="55">
        <v>1.5</v>
      </c>
      <c r="F10" s="56">
        <f>F11*E10%</f>
        <v>20350120.617749996</v>
      </c>
      <c r="G10" s="57">
        <v>2247</v>
      </c>
    </row>
    <row r="11" spans="1:8" x14ac:dyDescent="0.25">
      <c r="D11" s="11" t="s">
        <v>51</v>
      </c>
      <c r="E11" s="11">
        <v>100</v>
      </c>
      <c r="F11" s="43">
        <v>1356674707.8499999</v>
      </c>
      <c r="G11" s="11" t="s">
        <v>52</v>
      </c>
    </row>
    <row r="12" spans="1:8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9"/>
  <sheetViews>
    <sheetView workbookViewId="0">
      <selection activeCell="G12" sqref="G12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91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70"/>
      <c r="B9" s="70"/>
      <c r="C9" s="70"/>
      <c r="D9" s="70"/>
      <c r="E9" s="70"/>
      <c r="F9" s="70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70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3</v>
      </c>
      <c r="B19" s="5">
        <f>+'02-2020'!F4</f>
        <v>386179549.43889999</v>
      </c>
      <c r="C19" s="5">
        <f>+'02-2020'!F5+'02-2020'!F8</f>
        <v>73698387.297499999</v>
      </c>
      <c r="D19" s="5">
        <f>+'02-2020'!F7</f>
        <v>97281871.232700005</v>
      </c>
      <c r="E19" s="5">
        <f>+'02-2020'!F6+'02-2020'!F10</f>
        <v>26531419.427100003</v>
      </c>
      <c r="F19" s="5">
        <f>+'02-2020'!F9</f>
        <v>5895870.9838000005</v>
      </c>
      <c r="G19" s="5">
        <f t="shared" ref="G19:G21" si="0">+B19+C19+D19+E19+F19</f>
        <v>589587098.38</v>
      </c>
    </row>
    <row r="20" spans="1:14" x14ac:dyDescent="0.25">
      <c r="A20" s="67" t="s">
        <v>4</v>
      </c>
      <c r="B20" s="5">
        <f>+'02-2020'!F17</f>
        <v>654204792.28509998</v>
      </c>
      <c r="C20" s="5">
        <f>+'02-2020'!F18+'02-2020'!F21</f>
        <v>124848242.80249999</v>
      </c>
      <c r="D20" s="5">
        <f>+'02-2020'!F20</f>
        <v>164799680.4993</v>
      </c>
      <c r="E20" s="5">
        <f>+'02-2020'!F19+'02-2020'!F23</f>
        <v>44945367.4089</v>
      </c>
      <c r="F20" s="5">
        <f>+'02-2020'!F22</f>
        <v>9987859.4242000002</v>
      </c>
      <c r="G20" s="5">
        <f t="shared" si="0"/>
        <v>998785942.42000008</v>
      </c>
    </row>
    <row r="21" spans="1:14" x14ac:dyDescent="0.25">
      <c r="A21" s="67" t="s">
        <v>5</v>
      </c>
      <c r="B21" s="5">
        <f>+'02-2020'!F30</f>
        <v>843476192.32725012</v>
      </c>
      <c r="C21" s="5">
        <f>+'02-2020'!F31+'02-2020'!F34</f>
        <v>160968738.99375001</v>
      </c>
      <c r="D21" s="5">
        <f>+'02-2020'!F33</f>
        <v>212478735.47175002</v>
      </c>
      <c r="E21" s="5">
        <f>+'02-2020'!F32+'02-2020'!F36</f>
        <v>57948746.037749991</v>
      </c>
      <c r="F21" s="5">
        <f>+'02-2020'!F35</f>
        <v>12877499.1195</v>
      </c>
      <c r="G21" s="5">
        <f t="shared" si="0"/>
        <v>1287749911.95</v>
      </c>
    </row>
    <row r="22" spans="1:14" x14ac:dyDescent="0.25">
      <c r="A22" s="39" t="s">
        <v>24</v>
      </c>
      <c r="B22" s="40">
        <f t="shared" ref="B22:G22" si="1">SUM(B19:B21)</f>
        <v>1883860534.05125</v>
      </c>
      <c r="C22" s="40">
        <f t="shared" si="1"/>
        <v>359515369.09375</v>
      </c>
      <c r="D22" s="40">
        <f t="shared" si="1"/>
        <v>474560287.20375001</v>
      </c>
      <c r="E22" s="40">
        <f t="shared" si="1"/>
        <v>129425532.87374999</v>
      </c>
      <c r="F22" s="40">
        <f t="shared" si="1"/>
        <v>28761229.5275</v>
      </c>
      <c r="G22" s="40">
        <f t="shared" si="1"/>
        <v>2876122952.75</v>
      </c>
    </row>
    <row r="23" spans="1:14" x14ac:dyDescent="0.25">
      <c r="F23" s="25"/>
    </row>
    <row r="29" spans="1:14" x14ac:dyDescent="0.25">
      <c r="F29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topLeftCell="A16" workbookViewId="0">
      <selection activeCell="F38" sqref="F38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8" x14ac:dyDescent="0.25">
      <c r="A2" s="11" t="s">
        <v>92</v>
      </c>
    </row>
    <row r="4" spans="1:8" s="52" customFormat="1" x14ac:dyDescent="0.25">
      <c r="A4" s="52" t="s">
        <v>44</v>
      </c>
      <c r="E4" s="52">
        <v>65.5</v>
      </c>
      <c r="F4" s="53">
        <f>F11*E4%</f>
        <v>386179549.43889999</v>
      </c>
      <c r="G4" s="54">
        <v>2211</v>
      </c>
    </row>
    <row r="5" spans="1:8" s="49" customFormat="1" x14ac:dyDescent="0.25">
      <c r="A5" s="49" t="s">
        <v>45</v>
      </c>
      <c r="E5" s="49">
        <v>10.5</v>
      </c>
      <c r="F5" s="50">
        <f>F11*E5%</f>
        <v>61906645.329899997</v>
      </c>
      <c r="G5" s="51">
        <v>2212</v>
      </c>
    </row>
    <row r="6" spans="1:8" x14ac:dyDescent="0.25">
      <c r="A6" s="47" t="s">
        <v>46</v>
      </c>
      <c r="B6" s="47"/>
      <c r="C6" s="47"/>
      <c r="D6" s="47"/>
      <c r="E6" s="47">
        <v>3</v>
      </c>
      <c r="F6" s="42">
        <f>F11*E6%</f>
        <v>17687612.951400001</v>
      </c>
      <c r="G6" s="48">
        <v>2247</v>
      </c>
      <c r="H6" s="47"/>
    </row>
    <row r="7" spans="1:8" s="58" customFormat="1" x14ac:dyDescent="0.25">
      <c r="A7" s="58" t="s">
        <v>47</v>
      </c>
      <c r="E7" s="58">
        <v>16.5</v>
      </c>
      <c r="F7" s="59">
        <f>F11*E7%</f>
        <v>97281871.232700005</v>
      </c>
      <c r="G7" s="60">
        <v>2236</v>
      </c>
    </row>
    <row r="8" spans="1:8" s="49" customFormat="1" x14ac:dyDescent="0.25">
      <c r="A8" s="49" t="s">
        <v>48</v>
      </c>
      <c r="E8" s="49">
        <v>2</v>
      </c>
      <c r="F8" s="50">
        <f>F11*E8%</f>
        <v>11791741.967600001</v>
      </c>
      <c r="G8" s="51">
        <v>2212</v>
      </c>
    </row>
    <row r="9" spans="1:8" x14ac:dyDescent="0.25">
      <c r="A9" s="44" t="s">
        <v>49</v>
      </c>
      <c r="B9" s="44"/>
      <c r="C9" s="44"/>
      <c r="D9" s="44"/>
      <c r="E9" s="44">
        <v>1</v>
      </c>
      <c r="F9" s="45">
        <f>F11*E9%</f>
        <v>5895870.9838000005</v>
      </c>
      <c r="G9" s="46">
        <v>2275</v>
      </c>
      <c r="H9" s="44"/>
    </row>
    <row r="10" spans="1:8" s="55" customFormat="1" x14ac:dyDescent="0.25">
      <c r="A10" s="55" t="s">
        <v>50</v>
      </c>
      <c r="E10" s="55">
        <v>1.5</v>
      </c>
      <c r="F10" s="56">
        <f>F11*E10%</f>
        <v>8843806.4757000003</v>
      </c>
      <c r="G10" s="57">
        <v>2247</v>
      </c>
    </row>
    <row r="11" spans="1:8" x14ac:dyDescent="0.25">
      <c r="D11" s="11" t="s">
        <v>51</v>
      </c>
      <c r="E11" s="11">
        <v>100</v>
      </c>
      <c r="F11" s="43">
        <v>589587098.38</v>
      </c>
      <c r="G11" s="11" t="s">
        <v>52</v>
      </c>
    </row>
    <row r="12" spans="1:8" x14ac:dyDescent="0.25">
      <c r="D12" s="11" t="s">
        <v>53</v>
      </c>
      <c r="F12" s="43">
        <v>0</v>
      </c>
      <c r="G12" s="11" t="s">
        <v>54</v>
      </c>
    </row>
    <row r="15" spans="1:8" x14ac:dyDescent="0.25">
      <c r="A15" s="11" t="s">
        <v>93</v>
      </c>
    </row>
    <row r="17" spans="1:8" s="52" customFormat="1" x14ac:dyDescent="0.25">
      <c r="A17" s="52" t="s">
        <v>44</v>
      </c>
      <c r="E17" s="52">
        <v>65.5</v>
      </c>
      <c r="F17" s="53">
        <f>F24*E17%</f>
        <v>654204792.28509998</v>
      </c>
      <c r="G17" s="54">
        <v>2211</v>
      </c>
    </row>
    <row r="18" spans="1:8" s="49" customFormat="1" x14ac:dyDescent="0.25">
      <c r="A18" s="49" t="s">
        <v>45</v>
      </c>
      <c r="E18" s="49">
        <v>10.5</v>
      </c>
      <c r="F18" s="50">
        <f>F24*E18%</f>
        <v>104872523.9541</v>
      </c>
      <c r="G18" s="51">
        <v>2212</v>
      </c>
    </row>
    <row r="19" spans="1:8" x14ac:dyDescent="0.25">
      <c r="A19" s="47" t="s">
        <v>46</v>
      </c>
      <c r="B19" s="47"/>
      <c r="C19" s="47"/>
      <c r="D19" s="47"/>
      <c r="E19" s="47">
        <v>3</v>
      </c>
      <c r="F19" s="42">
        <f>F24*E19%</f>
        <v>29963578.272599999</v>
      </c>
      <c r="G19" s="48">
        <v>2247</v>
      </c>
      <c r="H19" s="47"/>
    </row>
    <row r="20" spans="1:8" s="58" customFormat="1" x14ac:dyDescent="0.25">
      <c r="A20" s="58" t="s">
        <v>47</v>
      </c>
      <c r="E20" s="58">
        <v>16.5</v>
      </c>
      <c r="F20" s="59">
        <f>F24*E20%</f>
        <v>164799680.4993</v>
      </c>
      <c r="G20" s="60">
        <v>2236</v>
      </c>
    </row>
    <row r="21" spans="1:8" s="49" customFormat="1" x14ac:dyDescent="0.25">
      <c r="A21" s="49" t="s">
        <v>48</v>
      </c>
      <c r="E21" s="49">
        <v>2</v>
      </c>
      <c r="F21" s="50">
        <f>F24*E21%</f>
        <v>19975718.8484</v>
      </c>
      <c r="G21" s="51">
        <v>2212</v>
      </c>
    </row>
    <row r="22" spans="1:8" x14ac:dyDescent="0.25">
      <c r="A22" s="44" t="s">
        <v>49</v>
      </c>
      <c r="B22" s="44"/>
      <c r="C22" s="44"/>
      <c r="D22" s="44"/>
      <c r="E22" s="44">
        <v>1</v>
      </c>
      <c r="F22" s="45">
        <f>F24*E22%</f>
        <v>9987859.4242000002</v>
      </c>
      <c r="G22" s="46">
        <v>2275</v>
      </c>
      <c r="H22" s="44"/>
    </row>
    <row r="23" spans="1:8" s="55" customFormat="1" x14ac:dyDescent="0.25">
      <c r="A23" s="55" t="s">
        <v>50</v>
      </c>
      <c r="E23" s="55">
        <v>1.5</v>
      </c>
      <c r="F23" s="56">
        <f>F24*E23%</f>
        <v>14981789.136299999</v>
      </c>
      <c r="G23" s="57">
        <v>2247</v>
      </c>
    </row>
    <row r="24" spans="1:8" x14ac:dyDescent="0.25">
      <c r="D24" s="11" t="s">
        <v>51</v>
      </c>
      <c r="E24" s="11">
        <v>100</v>
      </c>
      <c r="F24" s="43">
        <v>998785942.41999996</v>
      </c>
      <c r="G24" s="11" t="s">
        <v>52</v>
      </c>
    </row>
    <row r="25" spans="1:8" x14ac:dyDescent="0.25">
      <c r="D25" s="11" t="s">
        <v>53</v>
      </c>
      <c r="F25" s="43">
        <v>0</v>
      </c>
      <c r="G25" s="11" t="s">
        <v>54</v>
      </c>
    </row>
    <row r="28" spans="1:8" x14ac:dyDescent="0.25">
      <c r="A28" s="11" t="s">
        <v>94</v>
      </c>
    </row>
    <row r="30" spans="1:8" s="52" customFormat="1" x14ac:dyDescent="0.25">
      <c r="A30" s="52" t="s">
        <v>44</v>
      </c>
      <c r="E30" s="52">
        <v>65.5</v>
      </c>
      <c r="F30" s="53">
        <f>F37*E30%</f>
        <v>843476192.32725012</v>
      </c>
      <c r="G30" s="54">
        <v>2211</v>
      </c>
    </row>
    <row r="31" spans="1:8" s="49" customFormat="1" x14ac:dyDescent="0.25">
      <c r="A31" s="49" t="s">
        <v>45</v>
      </c>
      <c r="E31" s="49">
        <v>10.5</v>
      </c>
      <c r="F31" s="50">
        <f>F37*E31%</f>
        <v>135213740.75475001</v>
      </c>
      <c r="G31" s="51">
        <v>2212</v>
      </c>
    </row>
    <row r="32" spans="1:8" x14ac:dyDescent="0.25">
      <c r="A32" s="47" t="s">
        <v>46</v>
      </c>
      <c r="B32" s="47"/>
      <c r="C32" s="47"/>
      <c r="D32" s="47"/>
      <c r="E32" s="47">
        <v>3</v>
      </c>
      <c r="F32" s="42">
        <f>F37*E32%</f>
        <v>38632497.358499996</v>
      </c>
      <c r="G32" s="48">
        <v>2247</v>
      </c>
      <c r="H32" s="47"/>
    </row>
    <row r="33" spans="1:8" s="58" customFormat="1" x14ac:dyDescent="0.25">
      <c r="A33" s="58" t="s">
        <v>47</v>
      </c>
      <c r="E33" s="58">
        <v>16.5</v>
      </c>
      <c r="F33" s="59">
        <f>F37*E33%</f>
        <v>212478735.47175002</v>
      </c>
      <c r="G33" s="60">
        <v>2236</v>
      </c>
    </row>
    <row r="34" spans="1:8" s="49" customFormat="1" x14ac:dyDescent="0.25">
      <c r="A34" s="49" t="s">
        <v>48</v>
      </c>
      <c r="E34" s="49">
        <v>2</v>
      </c>
      <c r="F34" s="50">
        <f>F37*E34%</f>
        <v>25754998.239</v>
      </c>
      <c r="G34" s="51">
        <v>2212</v>
      </c>
    </row>
    <row r="35" spans="1:8" x14ac:dyDescent="0.25">
      <c r="A35" s="44" t="s">
        <v>49</v>
      </c>
      <c r="B35" s="44"/>
      <c r="C35" s="44"/>
      <c r="D35" s="44"/>
      <c r="E35" s="44">
        <v>1</v>
      </c>
      <c r="F35" s="45">
        <f>F37*E35%</f>
        <v>12877499.1195</v>
      </c>
      <c r="G35" s="46">
        <v>2275</v>
      </c>
      <c r="H35" s="44"/>
    </row>
    <row r="36" spans="1:8" s="55" customFormat="1" x14ac:dyDescent="0.25">
      <c r="A36" s="55" t="s">
        <v>50</v>
      </c>
      <c r="E36" s="55">
        <v>1.5</v>
      </c>
      <c r="F36" s="56">
        <f>F37*E36%</f>
        <v>19316248.679249998</v>
      </c>
      <c r="G36" s="57">
        <v>2247</v>
      </c>
    </row>
    <row r="37" spans="1:8" x14ac:dyDescent="0.25">
      <c r="D37" s="11" t="s">
        <v>51</v>
      </c>
      <c r="E37" s="11">
        <v>100</v>
      </c>
      <c r="F37" s="43">
        <v>1287749911.95</v>
      </c>
      <c r="G37" s="11" t="s">
        <v>52</v>
      </c>
    </row>
    <row r="38" spans="1:8" x14ac:dyDescent="0.25">
      <c r="D38" s="11" t="s">
        <v>53</v>
      </c>
      <c r="F38" s="43">
        <v>0</v>
      </c>
      <c r="G38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9"/>
  <sheetViews>
    <sheetView workbookViewId="0">
      <selection activeCell="G22" sqref="A1:G22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90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69"/>
      <c r="B9" s="69"/>
      <c r="C9" s="69"/>
      <c r="D9" s="69"/>
      <c r="E9" s="69"/>
      <c r="F9" s="69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69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0</v>
      </c>
      <c r="B19" s="5">
        <f>'01-2020'!F4</f>
        <v>225368101.85070002</v>
      </c>
      <c r="C19" s="5">
        <f>'01-2020'!F5+'01-2020'!F8</f>
        <v>43009179.7425</v>
      </c>
      <c r="D19" s="5">
        <f>'01-2020'!F7</f>
        <v>56772117.2601</v>
      </c>
      <c r="E19" s="5">
        <f>'01-2020'!F6+'01-2020'!F10</f>
        <v>15483304.7073</v>
      </c>
      <c r="F19" s="5">
        <f>'01-2020'!F9</f>
        <v>3440734.3794</v>
      </c>
      <c r="G19" s="5">
        <f t="shared" ref="G19:G21" si="0">+B19+C19+D19+E19+F19</f>
        <v>344073437.94000006</v>
      </c>
    </row>
    <row r="20" spans="1:14" x14ac:dyDescent="0.25">
      <c r="A20" s="67" t="s">
        <v>1</v>
      </c>
      <c r="B20" s="5">
        <f>'01-2020'!F17</f>
        <v>299806308.97040004</v>
      </c>
      <c r="C20" s="5">
        <f>'01-2020'!F18+'01-2020'!F21</f>
        <v>57214944.460000001</v>
      </c>
      <c r="D20" s="5">
        <f>'01-2020'!F20</f>
        <v>75523726.68720001</v>
      </c>
      <c r="E20" s="5">
        <f>'01-2020'!F19+'01-2020'!F23</f>
        <v>20597380.005599998</v>
      </c>
      <c r="F20" s="5">
        <f>'01-2020'!F22</f>
        <v>4577195.5568000004</v>
      </c>
      <c r="G20" s="5">
        <f t="shared" si="0"/>
        <v>457719555.68000001</v>
      </c>
    </row>
    <row r="21" spans="1:14" x14ac:dyDescent="0.25">
      <c r="A21" s="67" t="s">
        <v>2</v>
      </c>
      <c r="B21" s="5">
        <f>'01-2020'!F30</f>
        <v>415019512.95464998</v>
      </c>
      <c r="C21" s="5">
        <f>'01-2020'!F31+'01-2020'!F34</f>
        <v>79202197.128749996</v>
      </c>
      <c r="D21" s="5">
        <f>'01-2020'!F33</f>
        <v>104546900.20995</v>
      </c>
      <c r="E21" s="5">
        <f>'01-2020'!F32+'01-2020'!F36</f>
        <v>28512790.966349997</v>
      </c>
      <c r="F21" s="5">
        <f>'01-2020'!F35</f>
        <v>6336175.7703</v>
      </c>
      <c r="G21" s="5">
        <f t="shared" si="0"/>
        <v>633617577.02999997</v>
      </c>
    </row>
    <row r="22" spans="1:14" x14ac:dyDescent="0.25">
      <c r="A22" s="39" t="s">
        <v>24</v>
      </c>
      <c r="B22" s="40">
        <f t="shared" ref="B22:G22" si="1">SUM(B19:B21)</f>
        <v>940193923.77575004</v>
      </c>
      <c r="C22" s="40">
        <f t="shared" si="1"/>
        <v>179426321.33125001</v>
      </c>
      <c r="D22" s="40">
        <f t="shared" si="1"/>
        <v>236842744.15725002</v>
      </c>
      <c r="E22" s="40">
        <f t="shared" si="1"/>
        <v>64593475.679249994</v>
      </c>
      <c r="F22" s="40">
        <f t="shared" si="1"/>
        <v>14354105.706500001</v>
      </c>
      <c r="G22" s="40">
        <f t="shared" si="1"/>
        <v>1435410570.6500001</v>
      </c>
    </row>
    <row r="23" spans="1:14" x14ac:dyDescent="0.25">
      <c r="F23" s="25"/>
    </row>
    <row r="29" spans="1:14" x14ac:dyDescent="0.25">
      <c r="F29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workbookViewId="0">
      <selection activeCell="G10" sqref="G10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120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96"/>
      <c r="B9" s="96"/>
      <c r="C9" s="96"/>
      <c r="D9" s="96"/>
      <c r="E9" s="96"/>
      <c r="F9" s="87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96" t="s">
        <v>13</v>
      </c>
      <c r="B10" s="104" t="s">
        <v>14</v>
      </c>
      <c r="C10" s="104"/>
      <c r="D10" s="9"/>
      <c r="E10" s="9"/>
      <c r="F10" s="88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 t="s">
        <v>115</v>
      </c>
      <c r="B11" s="22" t="s">
        <v>17</v>
      </c>
      <c r="C11" s="22"/>
      <c r="D11" s="22"/>
      <c r="E11" s="22"/>
      <c r="F11" s="81">
        <f>+B19*B17</f>
        <v>55018757.114964001</v>
      </c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 t="s">
        <v>116</v>
      </c>
      <c r="B12" s="3" t="s">
        <v>20</v>
      </c>
      <c r="C12" s="3"/>
      <c r="D12" s="3"/>
      <c r="E12" s="3"/>
      <c r="F12" s="82">
        <f>+C19*C17</f>
        <v>44702740.155908249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 t="s">
        <v>117</v>
      </c>
      <c r="B13" s="3" t="s">
        <v>21</v>
      </c>
      <c r="C13" s="3"/>
      <c r="D13" s="3"/>
      <c r="E13" s="3"/>
      <c r="F13" s="82">
        <f>+D19*D17</f>
        <v>43938590.751533747</v>
      </c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 t="s">
        <v>118</v>
      </c>
      <c r="B14" s="3" t="s">
        <v>22</v>
      </c>
      <c r="C14" s="3"/>
      <c r="D14" s="3"/>
      <c r="E14" s="3"/>
      <c r="F14" s="82">
        <f>+E19*E17</f>
        <v>25981079.748732995</v>
      </c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 t="s">
        <v>119</v>
      </c>
      <c r="B15" s="3" t="s">
        <v>23</v>
      </c>
      <c r="C15" s="3"/>
      <c r="D15" s="3"/>
      <c r="E15" s="3"/>
      <c r="F15" s="82">
        <f>+F19*F17</f>
        <v>30948050.877167247</v>
      </c>
      <c r="G15" s="3"/>
      <c r="H15" s="3"/>
      <c r="I15" s="3"/>
      <c r="J15" s="3"/>
      <c r="K15" s="3"/>
      <c r="L15" s="3"/>
      <c r="M15" s="3"/>
      <c r="N15" s="3"/>
    </row>
    <row r="16" spans="1:14" ht="15.75" x14ac:dyDescent="0.25">
      <c r="A16" s="9"/>
      <c r="B16" s="12"/>
      <c r="C16" s="12"/>
      <c r="D16" s="12"/>
      <c r="E16" s="12"/>
      <c r="F16" s="10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80">
        <v>0.01</v>
      </c>
      <c r="C17" s="29">
        <v>2.2499999999999999E-2</v>
      </c>
      <c r="D17" s="29">
        <v>1.15E-2</v>
      </c>
      <c r="E17" s="80">
        <v>0.01</v>
      </c>
      <c r="F17" s="29">
        <v>2.2499999999999999E-2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 t="s">
        <v>115</v>
      </c>
      <c r="C18" s="2" t="s">
        <v>116</v>
      </c>
      <c r="D18" s="2" t="s">
        <v>117</v>
      </c>
      <c r="E18" s="2" t="s">
        <v>118</v>
      </c>
      <c r="F18" s="2" t="s">
        <v>119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4</v>
      </c>
      <c r="B19" s="5">
        <f>+'06-2021  '!F4</f>
        <v>5501875711.4963999</v>
      </c>
      <c r="C19" s="5">
        <f>+'06-2021  '!F5+'06-2021  '!F6</f>
        <v>1986788451.3737001</v>
      </c>
      <c r="D19" s="5">
        <f>+'06-2021  '!F7</f>
        <v>3820747021.8724999</v>
      </c>
      <c r="E19" s="5">
        <f>+'06-2021  '!F8+'06-2021  '!F9</f>
        <v>2598107974.8732996</v>
      </c>
      <c r="F19" s="5">
        <f>+'06-2021  '!F10</f>
        <v>1375468927.8741</v>
      </c>
      <c r="G19" s="5">
        <f t="shared" ref="G19" si="0">+B19+C19+D19+E19+F19</f>
        <v>15282988087.489998</v>
      </c>
    </row>
    <row r="20" spans="1:14" x14ac:dyDescent="0.25">
      <c r="A20" s="39" t="s">
        <v>24</v>
      </c>
      <c r="B20" s="40">
        <f t="shared" ref="B20:G20" si="1">SUM(B19:B19)</f>
        <v>5501875711.4963999</v>
      </c>
      <c r="C20" s="40">
        <f t="shared" si="1"/>
        <v>1986788451.3737001</v>
      </c>
      <c r="D20" s="40">
        <f t="shared" si="1"/>
        <v>3820747021.8724999</v>
      </c>
      <c r="E20" s="40">
        <f t="shared" si="1"/>
        <v>2598107974.8732996</v>
      </c>
      <c r="F20" s="40">
        <f t="shared" si="1"/>
        <v>1375468927.8741</v>
      </c>
      <c r="G20" s="40">
        <f t="shared" si="1"/>
        <v>15282988087.489998</v>
      </c>
    </row>
    <row r="21" spans="1:14" x14ac:dyDescent="0.25">
      <c r="F21" s="25"/>
    </row>
    <row r="23" spans="1:14" x14ac:dyDescent="0.25">
      <c r="B23" s="36">
        <f>+B20*B17</f>
        <v>55018757.114964001</v>
      </c>
      <c r="C23" s="36">
        <f>+C20*C17</f>
        <v>44702740.155908249</v>
      </c>
      <c r="D23" s="36">
        <f>+D20*D17</f>
        <v>43938590.751533747</v>
      </c>
      <c r="E23" s="36">
        <f>+E20*E17</f>
        <v>25981079.748732995</v>
      </c>
      <c r="F23" s="36">
        <f>+F20*F17</f>
        <v>30948050.877167247</v>
      </c>
      <c r="G23" s="36">
        <f>SUM(B23:F23)</f>
        <v>200589218.64830622</v>
      </c>
    </row>
    <row r="25" spans="1:14" x14ac:dyDescent="0.25">
      <c r="F25" s="91" t="s">
        <v>110</v>
      </c>
      <c r="G25" s="36">
        <f>+G23*5%</f>
        <v>10029460.932415312</v>
      </c>
      <c r="H25" s="90">
        <v>0.05</v>
      </c>
    </row>
    <row r="27" spans="1:14" x14ac:dyDescent="0.25">
      <c r="F27" s="92" t="s">
        <v>111</v>
      </c>
      <c r="G27" s="93">
        <f>+G23-G25</f>
        <v>190559757.71589091</v>
      </c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workbookViewId="0">
      <selection activeCell="G13" sqref="G13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8" x14ac:dyDescent="0.25">
      <c r="A2" s="11" t="s">
        <v>87</v>
      </c>
    </row>
    <row r="4" spans="1:8" s="52" customFormat="1" x14ac:dyDescent="0.25">
      <c r="A4" s="52" t="s">
        <v>44</v>
      </c>
      <c r="E4" s="52">
        <v>65.5</v>
      </c>
      <c r="F4" s="53">
        <f>F11*E4%</f>
        <v>225368101.85070002</v>
      </c>
      <c r="G4" s="54">
        <v>2211</v>
      </c>
    </row>
    <row r="5" spans="1:8" s="49" customFormat="1" x14ac:dyDescent="0.25">
      <c r="A5" s="49" t="s">
        <v>45</v>
      </c>
      <c r="E5" s="49">
        <v>10.5</v>
      </c>
      <c r="F5" s="50">
        <f>F11*E5%</f>
        <v>36127710.9837</v>
      </c>
      <c r="G5" s="51">
        <v>2212</v>
      </c>
    </row>
    <row r="6" spans="1:8" x14ac:dyDescent="0.25">
      <c r="A6" s="47" t="s">
        <v>46</v>
      </c>
      <c r="B6" s="47"/>
      <c r="C6" s="47"/>
      <c r="D6" s="47"/>
      <c r="E6" s="47">
        <v>3</v>
      </c>
      <c r="F6" s="42">
        <f>F11*E6%</f>
        <v>10322203.1382</v>
      </c>
      <c r="G6" s="48">
        <v>2247</v>
      </c>
      <c r="H6" s="47"/>
    </row>
    <row r="7" spans="1:8" s="58" customFormat="1" x14ac:dyDescent="0.25">
      <c r="A7" s="58" t="s">
        <v>47</v>
      </c>
      <c r="E7" s="58">
        <v>16.5</v>
      </c>
      <c r="F7" s="59">
        <f>F11*E7%</f>
        <v>56772117.2601</v>
      </c>
      <c r="G7" s="60">
        <v>2236</v>
      </c>
    </row>
    <row r="8" spans="1:8" s="49" customFormat="1" x14ac:dyDescent="0.25">
      <c r="A8" s="49" t="s">
        <v>48</v>
      </c>
      <c r="E8" s="49">
        <v>2</v>
      </c>
      <c r="F8" s="50">
        <f>F11*E8%</f>
        <v>6881468.7588</v>
      </c>
      <c r="G8" s="51">
        <v>2212</v>
      </c>
    </row>
    <row r="9" spans="1:8" x14ac:dyDescent="0.25">
      <c r="A9" s="44" t="s">
        <v>49</v>
      </c>
      <c r="B9" s="44"/>
      <c r="C9" s="44"/>
      <c r="D9" s="44"/>
      <c r="E9" s="44">
        <v>1</v>
      </c>
      <c r="F9" s="45">
        <f>F11*E9%</f>
        <v>3440734.3794</v>
      </c>
      <c r="G9" s="46">
        <v>2275</v>
      </c>
      <c r="H9" s="44"/>
    </row>
    <row r="10" spans="1:8" s="55" customFormat="1" x14ac:dyDescent="0.25">
      <c r="A10" s="55" t="s">
        <v>50</v>
      </c>
      <c r="E10" s="55">
        <v>1.5</v>
      </c>
      <c r="F10" s="56">
        <f>F11*E10%</f>
        <v>5161101.5691</v>
      </c>
      <c r="G10" s="57">
        <v>2247</v>
      </c>
    </row>
    <row r="11" spans="1:8" x14ac:dyDescent="0.25">
      <c r="D11" s="11" t="s">
        <v>51</v>
      </c>
      <c r="E11" s="11">
        <v>100</v>
      </c>
      <c r="F11" s="43">
        <v>344073437.94</v>
      </c>
      <c r="G11" s="11" t="s">
        <v>52</v>
      </c>
    </row>
    <row r="12" spans="1:8" x14ac:dyDescent="0.25">
      <c r="D12" s="11" t="s">
        <v>53</v>
      </c>
      <c r="F12" s="43">
        <v>0</v>
      </c>
      <c r="G12" s="11" t="s">
        <v>54</v>
      </c>
    </row>
    <row r="15" spans="1:8" x14ac:dyDescent="0.25">
      <c r="A15" s="11" t="s">
        <v>88</v>
      </c>
    </row>
    <row r="17" spans="1:8" s="52" customFormat="1" x14ac:dyDescent="0.25">
      <c r="A17" s="52" t="s">
        <v>44</v>
      </c>
      <c r="E17" s="52">
        <v>65.5</v>
      </c>
      <c r="F17" s="53">
        <f>F24*E17%</f>
        <v>299806308.97040004</v>
      </c>
      <c r="G17" s="54">
        <v>2211</v>
      </c>
    </row>
    <row r="18" spans="1:8" s="49" customFormat="1" x14ac:dyDescent="0.25">
      <c r="A18" s="49" t="s">
        <v>45</v>
      </c>
      <c r="E18" s="49">
        <v>10.5</v>
      </c>
      <c r="F18" s="50">
        <f>F24*E18%</f>
        <v>48060553.3464</v>
      </c>
      <c r="G18" s="51">
        <v>2212</v>
      </c>
    </row>
    <row r="19" spans="1:8" x14ac:dyDescent="0.25">
      <c r="A19" s="47" t="s">
        <v>46</v>
      </c>
      <c r="B19" s="47"/>
      <c r="C19" s="47"/>
      <c r="D19" s="47"/>
      <c r="E19" s="47">
        <v>3</v>
      </c>
      <c r="F19" s="42">
        <f>F24*E19%</f>
        <v>13731586.670399999</v>
      </c>
      <c r="G19" s="48">
        <v>2247</v>
      </c>
      <c r="H19" s="47"/>
    </row>
    <row r="20" spans="1:8" s="58" customFormat="1" x14ac:dyDescent="0.25">
      <c r="A20" s="58" t="s">
        <v>47</v>
      </c>
      <c r="E20" s="58">
        <v>16.5</v>
      </c>
      <c r="F20" s="59">
        <f>F24*E20%</f>
        <v>75523726.68720001</v>
      </c>
      <c r="G20" s="60">
        <v>2236</v>
      </c>
    </row>
    <row r="21" spans="1:8" s="49" customFormat="1" x14ac:dyDescent="0.25">
      <c r="A21" s="49" t="s">
        <v>48</v>
      </c>
      <c r="E21" s="49">
        <v>2</v>
      </c>
      <c r="F21" s="50">
        <f>F24*E21%</f>
        <v>9154391.1136000007</v>
      </c>
      <c r="G21" s="51">
        <v>2212</v>
      </c>
    </row>
    <row r="22" spans="1:8" x14ac:dyDescent="0.25">
      <c r="A22" s="44" t="s">
        <v>49</v>
      </c>
      <c r="B22" s="44"/>
      <c r="C22" s="44"/>
      <c r="D22" s="44"/>
      <c r="E22" s="44">
        <v>1</v>
      </c>
      <c r="F22" s="45">
        <f>F24*E22%</f>
        <v>4577195.5568000004</v>
      </c>
      <c r="G22" s="46">
        <v>2275</v>
      </c>
      <c r="H22" s="44"/>
    </row>
    <row r="23" spans="1:8" s="55" customFormat="1" x14ac:dyDescent="0.25">
      <c r="A23" s="55" t="s">
        <v>50</v>
      </c>
      <c r="E23" s="55">
        <v>1.5</v>
      </c>
      <c r="F23" s="56">
        <f>F24*E23%</f>
        <v>6865793.3351999996</v>
      </c>
      <c r="G23" s="57">
        <v>2247</v>
      </c>
    </row>
    <row r="24" spans="1:8" x14ac:dyDescent="0.25">
      <c r="D24" s="11" t="s">
        <v>51</v>
      </c>
      <c r="E24" s="11">
        <v>100</v>
      </c>
      <c r="F24" s="43">
        <v>457719555.68000001</v>
      </c>
      <c r="G24" s="11" t="s">
        <v>52</v>
      </c>
    </row>
    <row r="25" spans="1:8" x14ac:dyDescent="0.25">
      <c r="D25" s="11" t="s">
        <v>53</v>
      </c>
      <c r="F25" s="43">
        <v>0</v>
      </c>
      <c r="G25" s="11" t="s">
        <v>54</v>
      </c>
    </row>
    <row r="28" spans="1:8" x14ac:dyDescent="0.25">
      <c r="A28" s="11" t="s">
        <v>89</v>
      </c>
    </row>
    <row r="30" spans="1:8" s="52" customFormat="1" x14ac:dyDescent="0.25">
      <c r="A30" s="52" t="s">
        <v>44</v>
      </c>
      <c r="E30" s="52">
        <v>65.5</v>
      </c>
      <c r="F30" s="53">
        <f>F37*E30%</f>
        <v>415019512.95464998</v>
      </c>
      <c r="G30" s="54">
        <v>2211</v>
      </c>
    </row>
    <row r="31" spans="1:8" s="49" customFormat="1" x14ac:dyDescent="0.25">
      <c r="A31" s="49" t="s">
        <v>45</v>
      </c>
      <c r="E31" s="49">
        <v>10.5</v>
      </c>
      <c r="F31" s="50">
        <f>F37*E31%</f>
        <v>66529845.588149995</v>
      </c>
      <c r="G31" s="51">
        <v>2212</v>
      </c>
    </row>
    <row r="32" spans="1:8" x14ac:dyDescent="0.25">
      <c r="A32" s="47" t="s">
        <v>46</v>
      </c>
      <c r="B32" s="47"/>
      <c r="C32" s="47"/>
      <c r="D32" s="47"/>
      <c r="E32" s="47">
        <v>3</v>
      </c>
      <c r="F32" s="42">
        <f>F37*E32%</f>
        <v>19008527.310899999</v>
      </c>
      <c r="G32" s="48">
        <v>2247</v>
      </c>
      <c r="H32" s="47"/>
    </row>
    <row r="33" spans="1:8" s="58" customFormat="1" x14ac:dyDescent="0.25">
      <c r="A33" s="58" t="s">
        <v>47</v>
      </c>
      <c r="E33" s="58">
        <v>16.5</v>
      </c>
      <c r="F33" s="59">
        <f>F37*E33%</f>
        <v>104546900.20995</v>
      </c>
      <c r="G33" s="60">
        <v>2236</v>
      </c>
    </row>
    <row r="34" spans="1:8" s="49" customFormat="1" x14ac:dyDescent="0.25">
      <c r="A34" s="49" t="s">
        <v>48</v>
      </c>
      <c r="E34" s="49">
        <v>2</v>
      </c>
      <c r="F34" s="50">
        <f>F37*E34%</f>
        <v>12672351.5406</v>
      </c>
      <c r="G34" s="51">
        <v>2212</v>
      </c>
    </row>
    <row r="35" spans="1:8" x14ac:dyDescent="0.25">
      <c r="A35" s="44" t="s">
        <v>49</v>
      </c>
      <c r="B35" s="44"/>
      <c r="C35" s="44"/>
      <c r="D35" s="44"/>
      <c r="E35" s="44">
        <v>1</v>
      </c>
      <c r="F35" s="45">
        <f>F37*E35%</f>
        <v>6336175.7703</v>
      </c>
      <c r="G35" s="46">
        <v>2275</v>
      </c>
      <c r="H35" s="44"/>
    </row>
    <row r="36" spans="1:8" s="55" customFormat="1" x14ac:dyDescent="0.25">
      <c r="A36" s="55" t="s">
        <v>50</v>
      </c>
      <c r="E36" s="55">
        <v>1.5</v>
      </c>
      <c r="F36" s="56">
        <f>F37*E36%</f>
        <v>9504263.6554499995</v>
      </c>
      <c r="G36" s="57">
        <v>2247</v>
      </c>
    </row>
    <row r="37" spans="1:8" x14ac:dyDescent="0.25">
      <c r="D37" s="11" t="s">
        <v>51</v>
      </c>
      <c r="E37" s="11">
        <v>100</v>
      </c>
      <c r="F37" s="43">
        <v>633617577.02999997</v>
      </c>
      <c r="G37" s="11" t="s">
        <v>52</v>
      </c>
    </row>
    <row r="38" spans="1:8" x14ac:dyDescent="0.25">
      <c r="D38" s="11" t="s">
        <v>53</v>
      </c>
      <c r="F38" s="43">
        <v>0</v>
      </c>
      <c r="G38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9"/>
  <sheetViews>
    <sheetView workbookViewId="0">
      <selection activeCell="A7" sqref="A7:G7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83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68"/>
      <c r="B9" s="68"/>
      <c r="C9" s="68"/>
      <c r="D9" s="68"/>
      <c r="E9" s="68"/>
      <c r="F9" s="68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68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11</v>
      </c>
      <c r="B19" s="5">
        <f>'04-2019'!F4</f>
        <v>90428909.849250004</v>
      </c>
      <c r="C19" s="5">
        <f>'04-2019'!F5+'04-2019'!F8</f>
        <v>17257425.543749999</v>
      </c>
      <c r="D19" s="5">
        <f>'04-2019'!F7</f>
        <v>22779801.717750002</v>
      </c>
      <c r="E19" s="5">
        <f>'04-2019'!F6+'04-2019'!F10</f>
        <v>6212673.195749999</v>
      </c>
      <c r="F19" s="5">
        <f>'04-2019'!F9</f>
        <v>1380594.0434999999</v>
      </c>
      <c r="G19" s="5">
        <f t="shared" ref="G19:G21" si="0">+B19+C19+D19+E19+F19</f>
        <v>138059404.35000002</v>
      </c>
    </row>
    <row r="20" spans="1:14" x14ac:dyDescent="0.25">
      <c r="A20" s="67" t="s">
        <v>9</v>
      </c>
      <c r="B20" s="5">
        <f>'04-2019'!F17</f>
        <v>149496745.25314999</v>
      </c>
      <c r="C20" s="5">
        <f>'04-2019'!F18+'04-2019'!F21</f>
        <v>28529913.216249999</v>
      </c>
      <c r="D20" s="5">
        <f>'04-2019'!F20</f>
        <v>37659485.44545</v>
      </c>
      <c r="E20" s="5">
        <f>'04-2019'!F19+'04-2019'!F23</f>
        <v>10270768.757849999</v>
      </c>
      <c r="F20" s="5">
        <f>'04-2019'!F22</f>
        <v>2282393.0573</v>
      </c>
      <c r="G20" s="5">
        <f t="shared" si="0"/>
        <v>228239305.72999999</v>
      </c>
    </row>
    <row r="21" spans="1:14" x14ac:dyDescent="0.25">
      <c r="A21" s="67" t="s">
        <v>10</v>
      </c>
      <c r="B21" s="5">
        <f>'04-2019'!F30</f>
        <v>200568025.27455002</v>
      </c>
      <c r="C21" s="5">
        <f>'04-2019'!F31+'04-2019'!F34</f>
        <v>38276340.701250002</v>
      </c>
      <c r="D21" s="5">
        <f>'04-2019'!F33</f>
        <v>50524769.725650005</v>
      </c>
      <c r="E21" s="5">
        <f>'04-2019'!F32+'04-2019'!F36</f>
        <v>13779482.652450001</v>
      </c>
      <c r="F21" s="5">
        <f>'04-2019'!F35</f>
        <v>3062107.2561000003</v>
      </c>
      <c r="G21" s="5">
        <f t="shared" si="0"/>
        <v>306210725.61000007</v>
      </c>
    </row>
    <row r="22" spans="1:14" x14ac:dyDescent="0.25">
      <c r="A22" s="39" t="s">
        <v>24</v>
      </c>
      <c r="B22" s="40">
        <f t="shared" ref="B22:G22" si="1">SUM(B19:B21)</f>
        <v>440493680.37695003</v>
      </c>
      <c r="C22" s="40">
        <f t="shared" si="1"/>
        <v>84063679.461250007</v>
      </c>
      <c r="D22" s="40">
        <f t="shared" si="1"/>
        <v>110964056.88885</v>
      </c>
      <c r="E22" s="40">
        <f t="shared" si="1"/>
        <v>30262924.60605</v>
      </c>
      <c r="F22" s="40">
        <f t="shared" si="1"/>
        <v>6725094.3569000009</v>
      </c>
      <c r="G22" s="40">
        <f t="shared" si="1"/>
        <v>672509435.69000006</v>
      </c>
    </row>
    <row r="23" spans="1:14" x14ac:dyDescent="0.25">
      <c r="F23" s="25"/>
    </row>
    <row r="29" spans="1:14" x14ac:dyDescent="0.25">
      <c r="F29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topLeftCell="A25" workbookViewId="0">
      <selection activeCell="F38" sqref="F38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8" x14ac:dyDescent="0.25">
      <c r="A2" s="11" t="s">
        <v>84</v>
      </c>
    </row>
    <row r="4" spans="1:8" s="52" customFormat="1" x14ac:dyDescent="0.25">
      <c r="A4" s="52" t="s">
        <v>44</v>
      </c>
      <c r="E4" s="52">
        <v>65.5</v>
      </c>
      <c r="F4" s="53">
        <f>F11*E4%</f>
        <v>90428909.849250004</v>
      </c>
      <c r="G4" s="54">
        <v>2211</v>
      </c>
    </row>
    <row r="5" spans="1:8" s="49" customFormat="1" x14ac:dyDescent="0.25">
      <c r="A5" s="49" t="s">
        <v>45</v>
      </c>
      <c r="E5" s="49">
        <v>10.5</v>
      </c>
      <c r="F5" s="50">
        <f>F11*E5%</f>
        <v>14496237.456749998</v>
      </c>
      <c r="G5" s="51">
        <v>2212</v>
      </c>
    </row>
    <row r="6" spans="1:8" x14ac:dyDescent="0.25">
      <c r="A6" s="47" t="s">
        <v>46</v>
      </c>
      <c r="B6" s="47"/>
      <c r="C6" s="47"/>
      <c r="D6" s="47"/>
      <c r="E6" s="47">
        <v>3</v>
      </c>
      <c r="F6" s="42">
        <f>F11*E6%</f>
        <v>4141782.1304999995</v>
      </c>
      <c r="G6" s="48">
        <v>2247</v>
      </c>
      <c r="H6" s="47"/>
    </row>
    <row r="7" spans="1:8" s="58" customFormat="1" x14ac:dyDescent="0.25">
      <c r="A7" s="58" t="s">
        <v>47</v>
      </c>
      <c r="E7" s="58">
        <v>16.5</v>
      </c>
      <c r="F7" s="59">
        <f>F11*E7%</f>
        <v>22779801.717750002</v>
      </c>
      <c r="G7" s="60">
        <v>2236</v>
      </c>
    </row>
    <row r="8" spans="1:8" s="49" customFormat="1" x14ac:dyDescent="0.25">
      <c r="A8" s="49" t="s">
        <v>48</v>
      </c>
      <c r="E8" s="49">
        <v>2</v>
      </c>
      <c r="F8" s="50">
        <f>F11*E8%</f>
        <v>2761188.0869999998</v>
      </c>
      <c r="G8" s="51">
        <v>2212</v>
      </c>
    </row>
    <row r="9" spans="1:8" x14ac:dyDescent="0.25">
      <c r="A9" s="44" t="s">
        <v>49</v>
      </c>
      <c r="B9" s="44"/>
      <c r="C9" s="44"/>
      <c r="D9" s="44"/>
      <c r="E9" s="44">
        <v>1</v>
      </c>
      <c r="F9" s="45">
        <f>F11*E9%</f>
        <v>1380594.0434999999</v>
      </c>
      <c r="G9" s="46">
        <v>2275</v>
      </c>
      <c r="H9" s="44"/>
    </row>
    <row r="10" spans="1:8" s="55" customFormat="1" x14ac:dyDescent="0.25">
      <c r="A10" s="55" t="s">
        <v>50</v>
      </c>
      <c r="E10" s="55">
        <v>1.5</v>
      </c>
      <c r="F10" s="56">
        <f>F11*E10%</f>
        <v>2070891.0652499998</v>
      </c>
      <c r="G10" s="57">
        <v>2247</v>
      </c>
    </row>
    <row r="11" spans="1:8" x14ac:dyDescent="0.25">
      <c r="D11" s="11" t="s">
        <v>51</v>
      </c>
      <c r="E11" s="11">
        <v>100</v>
      </c>
      <c r="F11" s="43">
        <v>138059404.34999999</v>
      </c>
      <c r="G11" s="11" t="s">
        <v>52</v>
      </c>
    </row>
    <row r="12" spans="1:8" x14ac:dyDescent="0.25">
      <c r="D12" s="11" t="s">
        <v>53</v>
      </c>
      <c r="F12" s="43">
        <v>0</v>
      </c>
      <c r="G12" s="11" t="s">
        <v>54</v>
      </c>
    </row>
    <row r="15" spans="1:8" x14ac:dyDescent="0.25">
      <c r="A15" s="11" t="s">
        <v>85</v>
      </c>
    </row>
    <row r="17" spans="1:8" s="52" customFormat="1" x14ac:dyDescent="0.25">
      <c r="A17" s="52" t="s">
        <v>44</v>
      </c>
      <c r="E17" s="52">
        <v>65.5</v>
      </c>
      <c r="F17" s="53">
        <f>F24*E17%</f>
        <v>149496745.25314999</v>
      </c>
      <c r="G17" s="54">
        <v>2211</v>
      </c>
    </row>
    <row r="18" spans="1:8" s="49" customFormat="1" x14ac:dyDescent="0.25">
      <c r="A18" s="49" t="s">
        <v>45</v>
      </c>
      <c r="E18" s="49">
        <v>10.5</v>
      </c>
      <c r="F18" s="50">
        <f>F24*E18%</f>
        <v>23965127.10165</v>
      </c>
      <c r="G18" s="51">
        <v>2212</v>
      </c>
    </row>
    <row r="19" spans="1:8" x14ac:dyDescent="0.25">
      <c r="A19" s="47" t="s">
        <v>46</v>
      </c>
      <c r="B19" s="47"/>
      <c r="C19" s="47"/>
      <c r="D19" s="47"/>
      <c r="E19" s="47">
        <v>3</v>
      </c>
      <c r="F19" s="42">
        <f>F24*E19%</f>
        <v>6847179.1718999995</v>
      </c>
      <c r="G19" s="48">
        <v>2247</v>
      </c>
      <c r="H19" s="47"/>
    </row>
    <row r="20" spans="1:8" s="58" customFormat="1" x14ac:dyDescent="0.25">
      <c r="A20" s="58" t="s">
        <v>47</v>
      </c>
      <c r="E20" s="58">
        <v>16.5</v>
      </c>
      <c r="F20" s="59">
        <f>F24*E20%</f>
        <v>37659485.44545</v>
      </c>
      <c r="G20" s="60">
        <v>2236</v>
      </c>
    </row>
    <row r="21" spans="1:8" s="49" customFormat="1" x14ac:dyDescent="0.25">
      <c r="A21" s="49" t="s">
        <v>48</v>
      </c>
      <c r="E21" s="49">
        <v>2</v>
      </c>
      <c r="F21" s="50">
        <f>F24*E21%</f>
        <v>4564786.1146</v>
      </c>
      <c r="G21" s="51">
        <v>2212</v>
      </c>
    </row>
    <row r="22" spans="1:8" x14ac:dyDescent="0.25">
      <c r="A22" s="44" t="s">
        <v>49</v>
      </c>
      <c r="B22" s="44"/>
      <c r="C22" s="44"/>
      <c r="D22" s="44"/>
      <c r="E22" s="44">
        <v>1</v>
      </c>
      <c r="F22" s="45">
        <f>F24*E22%</f>
        <v>2282393.0573</v>
      </c>
      <c r="G22" s="46">
        <v>2275</v>
      </c>
      <c r="H22" s="44"/>
    </row>
    <row r="23" spans="1:8" s="55" customFormat="1" x14ac:dyDescent="0.25">
      <c r="A23" s="55" t="s">
        <v>50</v>
      </c>
      <c r="E23" s="55">
        <v>1.5</v>
      </c>
      <c r="F23" s="56">
        <f>F24*E23%</f>
        <v>3423589.5859499997</v>
      </c>
      <c r="G23" s="57">
        <v>2247</v>
      </c>
    </row>
    <row r="24" spans="1:8" x14ac:dyDescent="0.25">
      <c r="D24" s="11" t="s">
        <v>51</v>
      </c>
      <c r="E24" s="11">
        <v>100</v>
      </c>
      <c r="F24" s="43">
        <v>228239305.72999999</v>
      </c>
      <c r="G24" s="11" t="s">
        <v>52</v>
      </c>
    </row>
    <row r="25" spans="1:8" x14ac:dyDescent="0.25">
      <c r="D25" s="11" t="s">
        <v>53</v>
      </c>
      <c r="F25" s="43">
        <v>0</v>
      </c>
      <c r="G25" s="11" t="s">
        <v>54</v>
      </c>
    </row>
    <row r="28" spans="1:8" x14ac:dyDescent="0.25">
      <c r="A28" s="11" t="s">
        <v>86</v>
      </c>
    </row>
    <row r="30" spans="1:8" s="52" customFormat="1" x14ac:dyDescent="0.25">
      <c r="A30" s="52" t="s">
        <v>44</v>
      </c>
      <c r="E30" s="52">
        <v>65.5</v>
      </c>
      <c r="F30" s="53">
        <f>F37*E30%</f>
        <v>200568025.27455002</v>
      </c>
      <c r="G30" s="54">
        <v>2211</v>
      </c>
    </row>
    <row r="31" spans="1:8" s="49" customFormat="1" x14ac:dyDescent="0.25">
      <c r="A31" s="49" t="s">
        <v>45</v>
      </c>
      <c r="E31" s="49">
        <v>10.5</v>
      </c>
      <c r="F31" s="50">
        <f>F37*E31%</f>
        <v>32152126.18905</v>
      </c>
      <c r="G31" s="51">
        <v>2212</v>
      </c>
    </row>
    <row r="32" spans="1:8" x14ac:dyDescent="0.25">
      <c r="A32" s="47" t="s">
        <v>46</v>
      </c>
      <c r="B32" s="47"/>
      <c r="C32" s="47"/>
      <c r="D32" s="47"/>
      <c r="E32" s="47">
        <v>3</v>
      </c>
      <c r="F32" s="42">
        <f>F37*E32%</f>
        <v>9186321.7683000006</v>
      </c>
      <c r="G32" s="48">
        <v>2247</v>
      </c>
      <c r="H32" s="47"/>
    </row>
    <row r="33" spans="1:8" s="58" customFormat="1" x14ac:dyDescent="0.25">
      <c r="A33" s="58" t="s">
        <v>47</v>
      </c>
      <c r="E33" s="58">
        <v>16.5</v>
      </c>
      <c r="F33" s="59">
        <f>F37*E33%</f>
        <v>50524769.725650005</v>
      </c>
      <c r="G33" s="60">
        <v>2236</v>
      </c>
    </row>
    <row r="34" spans="1:8" s="49" customFormat="1" x14ac:dyDescent="0.25">
      <c r="A34" s="49" t="s">
        <v>48</v>
      </c>
      <c r="E34" s="49">
        <v>2</v>
      </c>
      <c r="F34" s="50">
        <f>F37*E34%</f>
        <v>6124214.5122000007</v>
      </c>
      <c r="G34" s="51">
        <v>2212</v>
      </c>
    </row>
    <row r="35" spans="1:8" x14ac:dyDescent="0.25">
      <c r="A35" s="44" t="s">
        <v>49</v>
      </c>
      <c r="B35" s="44"/>
      <c r="C35" s="44"/>
      <c r="D35" s="44"/>
      <c r="E35" s="44">
        <v>1</v>
      </c>
      <c r="F35" s="45">
        <f>F37*E35%</f>
        <v>3062107.2561000003</v>
      </c>
      <c r="G35" s="46">
        <v>2275</v>
      </c>
      <c r="H35" s="44"/>
    </row>
    <row r="36" spans="1:8" s="55" customFormat="1" x14ac:dyDescent="0.25">
      <c r="A36" s="55" t="s">
        <v>50</v>
      </c>
      <c r="E36" s="55">
        <v>1.5</v>
      </c>
      <c r="F36" s="56">
        <f>F37*E36%</f>
        <v>4593160.8841500003</v>
      </c>
      <c r="G36" s="57">
        <v>2247</v>
      </c>
    </row>
    <row r="37" spans="1:8" x14ac:dyDescent="0.25">
      <c r="D37" s="11" t="s">
        <v>51</v>
      </c>
      <c r="E37" s="11">
        <v>100</v>
      </c>
      <c r="F37" s="43">
        <v>306210725.61000001</v>
      </c>
      <c r="G37" s="11" t="s">
        <v>52</v>
      </c>
    </row>
    <row r="38" spans="1:8" x14ac:dyDescent="0.25">
      <c r="D38" s="11" t="s">
        <v>53</v>
      </c>
      <c r="F38" s="43">
        <v>0</v>
      </c>
      <c r="G38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9"/>
  <sheetViews>
    <sheetView workbookViewId="0">
      <selection activeCell="G13" sqref="G13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82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66"/>
      <c r="B9" s="66"/>
      <c r="C9" s="66"/>
      <c r="D9" s="66"/>
      <c r="E9" s="66"/>
      <c r="F9" s="66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66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6</v>
      </c>
      <c r="B19" s="5">
        <f>'03-2019'!F4</f>
        <v>40148946.207400002</v>
      </c>
      <c r="C19" s="5">
        <f>'03-2019'!F5+'03-2019'!F8</f>
        <v>7662012.6349999998</v>
      </c>
      <c r="D19" s="5">
        <f>'03-2019'!F7</f>
        <v>10113856.678200001</v>
      </c>
      <c r="E19" s="5">
        <f>'03-2019'!F6+'03-2019'!F10</f>
        <v>2758324.5485999999</v>
      </c>
      <c r="F19" s="5">
        <f>'03-2019'!F9</f>
        <v>612961.01080000005</v>
      </c>
      <c r="G19" s="5">
        <f t="shared" ref="G19:G21" si="0">+B19+C19+D19+E19+F19</f>
        <v>61296101.079999998</v>
      </c>
    </row>
    <row r="20" spans="1:14" x14ac:dyDescent="0.25">
      <c r="A20" s="67" t="s">
        <v>7</v>
      </c>
      <c r="B20" s="5">
        <f>'03-2019'!F17</f>
        <v>43738264.528900005</v>
      </c>
      <c r="C20" s="5">
        <f>'03-2019'!F18+'03-2019'!F21</f>
        <v>8346997.0474999994</v>
      </c>
      <c r="D20" s="5">
        <f>'03-2019'!F20</f>
        <v>11018036.102700001</v>
      </c>
      <c r="E20" s="5">
        <f>'03-2019'!F19+'03-2019'!F23</f>
        <v>3004918.9370999997</v>
      </c>
      <c r="F20" s="5">
        <f>'03-2019'!F22</f>
        <v>667759.76380000007</v>
      </c>
      <c r="G20" s="5">
        <f t="shared" si="0"/>
        <v>66775976.38000001</v>
      </c>
    </row>
    <row r="21" spans="1:14" x14ac:dyDescent="0.25">
      <c r="A21" s="67" t="s">
        <v>8</v>
      </c>
      <c r="B21" s="5">
        <f>'03-2019'!F30</f>
        <v>77555084.440850005</v>
      </c>
      <c r="C21" s="5">
        <f>'03-2019'!F31+'03-2019'!F34</f>
        <v>14800588.633749999</v>
      </c>
      <c r="D21" s="5">
        <f>'03-2019'!F33</f>
        <v>19536776.996550001</v>
      </c>
      <c r="E21" s="5">
        <f>'03-2019'!F32+'03-2019'!F36</f>
        <v>5328211.9081499996</v>
      </c>
      <c r="F21" s="5">
        <f>'03-2019'!F35</f>
        <v>1184047.0907000001</v>
      </c>
      <c r="G21" s="5">
        <f t="shared" si="0"/>
        <v>118404709.07000001</v>
      </c>
    </row>
    <row r="22" spans="1:14" x14ac:dyDescent="0.25">
      <c r="A22" s="39" t="s">
        <v>24</v>
      </c>
      <c r="B22" s="40">
        <f t="shared" ref="B22:G22" si="1">SUM(B19:B21)</f>
        <v>161442295.17715001</v>
      </c>
      <c r="C22" s="40">
        <f t="shared" si="1"/>
        <v>30809598.316249996</v>
      </c>
      <c r="D22" s="40">
        <f t="shared" si="1"/>
        <v>40668669.777450003</v>
      </c>
      <c r="E22" s="40">
        <f t="shared" si="1"/>
        <v>11091455.393849999</v>
      </c>
      <c r="F22" s="40">
        <f t="shared" si="1"/>
        <v>2464767.8653000002</v>
      </c>
      <c r="G22" s="40">
        <f t="shared" si="1"/>
        <v>246476786.53000003</v>
      </c>
    </row>
    <row r="23" spans="1:14" x14ac:dyDescent="0.25">
      <c r="F23" s="25"/>
    </row>
    <row r="29" spans="1:14" x14ac:dyDescent="0.25">
      <c r="F29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topLeftCell="A22" workbookViewId="0">
      <selection activeCell="H13" sqref="H13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8" x14ac:dyDescent="0.25">
      <c r="A2" s="11" t="s">
        <v>79</v>
      </c>
    </row>
    <row r="4" spans="1:8" s="52" customFormat="1" x14ac:dyDescent="0.25">
      <c r="A4" s="52" t="s">
        <v>44</v>
      </c>
      <c r="E4" s="52">
        <v>65.5</v>
      </c>
      <c r="F4" s="53">
        <f>F11*E4%</f>
        <v>40148946.207400002</v>
      </c>
      <c r="G4" s="54">
        <v>2211</v>
      </c>
    </row>
    <row r="5" spans="1:8" s="49" customFormat="1" x14ac:dyDescent="0.25">
      <c r="A5" s="49" t="s">
        <v>45</v>
      </c>
      <c r="E5" s="49">
        <v>10.5</v>
      </c>
      <c r="F5" s="50">
        <f>F11*E5%</f>
        <v>6436090.6133999992</v>
      </c>
      <c r="G5" s="51">
        <v>2212</v>
      </c>
    </row>
    <row r="6" spans="1:8" x14ac:dyDescent="0.25">
      <c r="A6" s="47" t="s">
        <v>46</v>
      </c>
      <c r="B6" s="47"/>
      <c r="C6" s="47"/>
      <c r="D6" s="47"/>
      <c r="E6" s="47">
        <v>3</v>
      </c>
      <c r="F6" s="42">
        <f>F11*E6%</f>
        <v>1838883.0323999999</v>
      </c>
      <c r="G6" s="48">
        <v>2247</v>
      </c>
      <c r="H6" s="47"/>
    </row>
    <row r="7" spans="1:8" s="58" customFormat="1" x14ac:dyDescent="0.25">
      <c r="A7" s="58" t="s">
        <v>47</v>
      </c>
      <c r="E7" s="58">
        <v>16.5</v>
      </c>
      <c r="F7" s="59">
        <f>F11*E7%</f>
        <v>10113856.678200001</v>
      </c>
      <c r="G7" s="60">
        <v>2236</v>
      </c>
    </row>
    <row r="8" spans="1:8" s="49" customFormat="1" x14ac:dyDescent="0.25">
      <c r="A8" s="49" t="s">
        <v>48</v>
      </c>
      <c r="E8" s="49">
        <v>2</v>
      </c>
      <c r="F8" s="50">
        <f>F11*E8%</f>
        <v>1225922.0216000001</v>
      </c>
      <c r="G8" s="51">
        <v>2212</v>
      </c>
    </row>
    <row r="9" spans="1:8" x14ac:dyDescent="0.25">
      <c r="A9" s="44" t="s">
        <v>49</v>
      </c>
      <c r="B9" s="44"/>
      <c r="C9" s="44"/>
      <c r="D9" s="44"/>
      <c r="E9" s="44">
        <v>1</v>
      </c>
      <c r="F9" s="45">
        <f>F11*E9%</f>
        <v>612961.01080000005</v>
      </c>
      <c r="G9" s="46">
        <v>2275</v>
      </c>
      <c r="H9" s="44"/>
    </row>
    <row r="10" spans="1:8" s="55" customFormat="1" x14ac:dyDescent="0.25">
      <c r="A10" s="55" t="s">
        <v>50</v>
      </c>
      <c r="E10" s="55">
        <v>1.5</v>
      </c>
      <c r="F10" s="56">
        <f>F11*E10%</f>
        <v>919441.51619999995</v>
      </c>
      <c r="G10" s="57">
        <v>2247</v>
      </c>
    </row>
    <row r="11" spans="1:8" x14ac:dyDescent="0.25">
      <c r="D11" s="11" t="s">
        <v>51</v>
      </c>
      <c r="E11" s="11">
        <v>100</v>
      </c>
      <c r="F11" s="43">
        <v>61296101.079999998</v>
      </c>
      <c r="G11" s="11" t="s">
        <v>52</v>
      </c>
    </row>
    <row r="12" spans="1:8" x14ac:dyDescent="0.25">
      <c r="D12" s="11" t="s">
        <v>53</v>
      </c>
      <c r="F12" s="43">
        <v>0</v>
      </c>
      <c r="G12" s="11" t="s">
        <v>54</v>
      </c>
    </row>
    <row r="15" spans="1:8" x14ac:dyDescent="0.25">
      <c r="A15" s="11" t="s">
        <v>80</v>
      </c>
    </row>
    <row r="17" spans="1:8" s="52" customFormat="1" x14ac:dyDescent="0.25">
      <c r="A17" s="52" t="s">
        <v>44</v>
      </c>
      <c r="E17" s="52">
        <v>65.5</v>
      </c>
      <c r="F17" s="53">
        <f>F24*E17%</f>
        <v>43738264.528900005</v>
      </c>
      <c r="G17" s="54">
        <v>2211</v>
      </c>
    </row>
    <row r="18" spans="1:8" s="49" customFormat="1" x14ac:dyDescent="0.25">
      <c r="A18" s="49" t="s">
        <v>45</v>
      </c>
      <c r="E18" s="49">
        <v>10.5</v>
      </c>
      <c r="F18" s="50">
        <f>F24*E18%</f>
        <v>7011477.5198999997</v>
      </c>
      <c r="G18" s="51">
        <v>2212</v>
      </c>
    </row>
    <row r="19" spans="1:8" x14ac:dyDescent="0.25">
      <c r="A19" s="47" t="s">
        <v>46</v>
      </c>
      <c r="B19" s="47"/>
      <c r="C19" s="47"/>
      <c r="D19" s="47"/>
      <c r="E19" s="47">
        <v>3</v>
      </c>
      <c r="F19" s="42">
        <f>F24*E19%</f>
        <v>2003279.2914</v>
      </c>
      <c r="G19" s="48">
        <v>2247</v>
      </c>
      <c r="H19" s="47"/>
    </row>
    <row r="20" spans="1:8" s="58" customFormat="1" x14ac:dyDescent="0.25">
      <c r="A20" s="58" t="s">
        <v>47</v>
      </c>
      <c r="E20" s="58">
        <v>16.5</v>
      </c>
      <c r="F20" s="59">
        <f>F24*E20%</f>
        <v>11018036.102700001</v>
      </c>
      <c r="G20" s="60">
        <v>2236</v>
      </c>
    </row>
    <row r="21" spans="1:8" s="49" customFormat="1" x14ac:dyDescent="0.25">
      <c r="A21" s="49" t="s">
        <v>48</v>
      </c>
      <c r="E21" s="49">
        <v>2</v>
      </c>
      <c r="F21" s="50">
        <f>F24*E21%</f>
        <v>1335519.5276000001</v>
      </c>
      <c r="G21" s="51">
        <v>2212</v>
      </c>
    </row>
    <row r="22" spans="1:8" x14ac:dyDescent="0.25">
      <c r="A22" s="44" t="s">
        <v>49</v>
      </c>
      <c r="B22" s="44"/>
      <c r="C22" s="44"/>
      <c r="D22" s="44"/>
      <c r="E22" s="44">
        <v>1</v>
      </c>
      <c r="F22" s="45">
        <f>F24*E22%</f>
        <v>667759.76380000007</v>
      </c>
      <c r="G22" s="46">
        <v>2275</v>
      </c>
      <c r="H22" s="44"/>
    </row>
    <row r="23" spans="1:8" s="55" customFormat="1" x14ac:dyDescent="0.25">
      <c r="A23" s="55" t="s">
        <v>50</v>
      </c>
      <c r="E23" s="55">
        <v>1.5</v>
      </c>
      <c r="F23" s="56">
        <f>F24*E23%</f>
        <v>1001639.6457</v>
      </c>
      <c r="G23" s="57">
        <v>2247</v>
      </c>
    </row>
    <row r="24" spans="1:8" x14ac:dyDescent="0.25">
      <c r="D24" s="11" t="s">
        <v>51</v>
      </c>
      <c r="E24" s="11">
        <v>100</v>
      </c>
      <c r="F24" s="43">
        <v>66775976.380000003</v>
      </c>
      <c r="G24" s="11" t="s">
        <v>52</v>
      </c>
    </row>
    <row r="25" spans="1:8" x14ac:dyDescent="0.25">
      <c r="D25" s="11" t="s">
        <v>53</v>
      </c>
      <c r="F25" s="43">
        <v>0</v>
      </c>
      <c r="G25" s="11" t="s">
        <v>54</v>
      </c>
    </row>
    <row r="28" spans="1:8" x14ac:dyDescent="0.25">
      <c r="A28" s="11" t="s">
        <v>81</v>
      </c>
    </row>
    <row r="30" spans="1:8" s="52" customFormat="1" x14ac:dyDescent="0.25">
      <c r="A30" s="52" t="s">
        <v>44</v>
      </c>
      <c r="E30" s="52">
        <v>65.5</v>
      </c>
      <c r="F30" s="53">
        <f>F37*E30%</f>
        <v>77555084.440850005</v>
      </c>
      <c r="G30" s="54">
        <v>2211</v>
      </c>
    </row>
    <row r="31" spans="1:8" s="49" customFormat="1" x14ac:dyDescent="0.25">
      <c r="A31" s="49" t="s">
        <v>45</v>
      </c>
      <c r="E31" s="49">
        <v>10.5</v>
      </c>
      <c r="F31" s="50">
        <f>F37*E31%</f>
        <v>12432494.452349998</v>
      </c>
      <c r="G31" s="51">
        <v>2212</v>
      </c>
    </row>
    <row r="32" spans="1:8" x14ac:dyDescent="0.25">
      <c r="A32" s="47" t="s">
        <v>46</v>
      </c>
      <c r="B32" s="47"/>
      <c r="C32" s="47"/>
      <c r="D32" s="47"/>
      <c r="E32" s="47">
        <v>3</v>
      </c>
      <c r="F32" s="42">
        <f>F37*E32%</f>
        <v>3552141.2720999997</v>
      </c>
      <c r="G32" s="48">
        <v>2247</v>
      </c>
      <c r="H32" s="47"/>
    </row>
    <row r="33" spans="1:8" s="58" customFormat="1" x14ac:dyDescent="0.25">
      <c r="A33" s="58" t="s">
        <v>47</v>
      </c>
      <c r="E33" s="58">
        <v>16.5</v>
      </c>
      <c r="F33" s="59">
        <f>F37*E33%</f>
        <v>19536776.996550001</v>
      </c>
      <c r="G33" s="60">
        <v>2236</v>
      </c>
    </row>
    <row r="34" spans="1:8" s="49" customFormat="1" x14ac:dyDescent="0.25">
      <c r="A34" s="49" t="s">
        <v>48</v>
      </c>
      <c r="E34" s="49">
        <v>2</v>
      </c>
      <c r="F34" s="50">
        <f>F37*E34%</f>
        <v>2368094.1814000001</v>
      </c>
      <c r="G34" s="51">
        <v>2212</v>
      </c>
    </row>
    <row r="35" spans="1:8" x14ac:dyDescent="0.25">
      <c r="A35" s="44" t="s">
        <v>49</v>
      </c>
      <c r="B35" s="44"/>
      <c r="C35" s="44"/>
      <c r="D35" s="44"/>
      <c r="E35" s="44">
        <v>1</v>
      </c>
      <c r="F35" s="45">
        <f>F37*E35%</f>
        <v>1184047.0907000001</v>
      </c>
      <c r="G35" s="46">
        <v>2275</v>
      </c>
      <c r="H35" s="44"/>
    </row>
    <row r="36" spans="1:8" s="55" customFormat="1" x14ac:dyDescent="0.25">
      <c r="A36" s="55" t="s">
        <v>50</v>
      </c>
      <c r="E36" s="55">
        <v>1.5</v>
      </c>
      <c r="F36" s="56">
        <f>F37*E36%</f>
        <v>1776070.6360499999</v>
      </c>
      <c r="G36" s="57">
        <v>2247</v>
      </c>
    </row>
    <row r="37" spans="1:8" x14ac:dyDescent="0.25">
      <c r="D37" s="11" t="s">
        <v>51</v>
      </c>
      <c r="E37" s="11">
        <v>100</v>
      </c>
      <c r="F37" s="43">
        <v>118404709.06999999</v>
      </c>
      <c r="G37" s="11" t="s">
        <v>52</v>
      </c>
    </row>
    <row r="38" spans="1:8" x14ac:dyDescent="0.25">
      <c r="D38" s="11" t="s">
        <v>53</v>
      </c>
      <c r="F38" s="43">
        <v>0</v>
      </c>
      <c r="G38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9"/>
  <sheetViews>
    <sheetView workbookViewId="0">
      <selection activeCell="E13" sqref="E13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78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65"/>
      <c r="B9" s="65"/>
      <c r="C9" s="65"/>
      <c r="D9" s="65"/>
      <c r="E9" s="65"/>
      <c r="F9" s="65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65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3</v>
      </c>
      <c r="B19" s="5">
        <f>'02-2019'!F4</f>
        <v>13147007.391550001</v>
      </c>
      <c r="C19" s="5">
        <f>'02-2019'!F5+'02-2019'!F8</f>
        <v>2508970.8762500002</v>
      </c>
      <c r="D19" s="5">
        <f>'02-2019'!F7</f>
        <v>3311841.5566500006</v>
      </c>
      <c r="E19" s="5">
        <f>'02-2019'!F6+'02-2019'!F10</f>
        <v>903229.51545000006</v>
      </c>
      <c r="F19" s="5">
        <f>'02-2019'!F9</f>
        <v>200717.67010000002</v>
      </c>
      <c r="G19" s="5">
        <f t="shared" ref="G19:G21" si="0">+B19+C19+D19+E19+F19</f>
        <v>20071767.010000002</v>
      </c>
    </row>
    <row r="20" spans="1:14" x14ac:dyDescent="0.25">
      <c r="A20" s="67" t="s">
        <v>4</v>
      </c>
      <c r="B20" s="5">
        <f>'02-2019'!F17</f>
        <v>16623097.0879</v>
      </c>
      <c r="C20" s="5">
        <f>'02-2019'!F18+'02-2019'!F21</f>
        <v>3172346.7725</v>
      </c>
      <c r="D20" s="5">
        <f>'02-2019'!F20</f>
        <v>4187497.7397000003</v>
      </c>
      <c r="E20" s="5">
        <f>'02-2019'!F19+'02-2019'!F23</f>
        <v>1142044.8381000001</v>
      </c>
      <c r="F20" s="5">
        <f>'02-2019'!F22</f>
        <v>253787.74179999999</v>
      </c>
      <c r="G20" s="5">
        <f t="shared" si="0"/>
        <v>25378774.18</v>
      </c>
    </row>
    <row r="21" spans="1:14" x14ac:dyDescent="0.25">
      <c r="A21" s="67" t="s">
        <v>5</v>
      </c>
      <c r="B21" s="5">
        <f>'02-2019'!F30</f>
        <v>21742133.823200002</v>
      </c>
      <c r="C21" s="5">
        <f>'02-2019'!F31+'02-2019'!F34</f>
        <v>4149262.1799999997</v>
      </c>
      <c r="D21" s="5">
        <f>'02-2019'!F33</f>
        <v>5477026.0776000004</v>
      </c>
      <c r="E21" s="5">
        <f>'02-2019'!F32+'02-2019'!F36</f>
        <v>1493734.3847999999</v>
      </c>
      <c r="F21" s="5">
        <f>'02-2019'!F35</f>
        <v>331940.97440000001</v>
      </c>
      <c r="G21" s="5">
        <f t="shared" si="0"/>
        <v>33194097.440000001</v>
      </c>
    </row>
    <row r="22" spans="1:14" x14ac:dyDescent="0.25">
      <c r="A22" s="39" t="s">
        <v>24</v>
      </c>
      <c r="B22" s="40">
        <f t="shared" ref="B22:G22" si="1">SUM(B19:B21)</f>
        <v>51512238.302650005</v>
      </c>
      <c r="C22" s="40">
        <f t="shared" si="1"/>
        <v>9830579.8287499994</v>
      </c>
      <c r="D22" s="40">
        <f t="shared" si="1"/>
        <v>12976365.373950001</v>
      </c>
      <c r="E22" s="40">
        <f t="shared" si="1"/>
        <v>3539008.7383500002</v>
      </c>
      <c r="F22" s="40">
        <f t="shared" si="1"/>
        <v>786446.38630000001</v>
      </c>
      <c r="G22" s="40">
        <f t="shared" si="1"/>
        <v>78644638.629999995</v>
      </c>
    </row>
    <row r="23" spans="1:14" x14ac:dyDescent="0.25">
      <c r="F23" s="25"/>
    </row>
    <row r="29" spans="1:14" x14ac:dyDescent="0.25">
      <c r="F29" s="25"/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workbookViewId="0">
      <selection activeCell="F36" sqref="F36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8" x14ac:dyDescent="0.25">
      <c r="A2" s="11" t="s">
        <v>75</v>
      </c>
    </row>
    <row r="4" spans="1:8" s="52" customFormat="1" x14ac:dyDescent="0.25">
      <c r="A4" s="52" t="s">
        <v>44</v>
      </c>
      <c r="E4" s="52">
        <v>65.5</v>
      </c>
      <c r="F4" s="53">
        <f>F11*E4%</f>
        <v>13147007.391550001</v>
      </c>
      <c r="G4" s="54">
        <v>2211</v>
      </c>
    </row>
    <row r="5" spans="1:8" s="49" customFormat="1" x14ac:dyDescent="0.25">
      <c r="A5" s="49" t="s">
        <v>45</v>
      </c>
      <c r="E5" s="49">
        <v>10.5</v>
      </c>
      <c r="F5" s="50">
        <f>F11*E5%</f>
        <v>2107535.5360500002</v>
      </c>
      <c r="G5" s="51">
        <v>2212</v>
      </c>
    </row>
    <row r="6" spans="1:8" x14ac:dyDescent="0.25">
      <c r="A6" s="47" t="s">
        <v>46</v>
      </c>
      <c r="B6" s="47"/>
      <c r="C6" s="47"/>
      <c r="D6" s="47"/>
      <c r="E6" s="47">
        <v>3</v>
      </c>
      <c r="F6" s="42">
        <f>F11*E6%</f>
        <v>602153.01030000008</v>
      </c>
      <c r="G6" s="48">
        <v>2247</v>
      </c>
      <c r="H6" s="47"/>
    </row>
    <row r="7" spans="1:8" s="58" customFormat="1" x14ac:dyDescent="0.25">
      <c r="A7" s="58" t="s">
        <v>47</v>
      </c>
      <c r="E7" s="58">
        <v>16.5</v>
      </c>
      <c r="F7" s="59">
        <f>F11*E7%</f>
        <v>3311841.5566500006</v>
      </c>
      <c r="G7" s="60">
        <v>2236</v>
      </c>
    </row>
    <row r="8" spans="1:8" s="49" customFormat="1" x14ac:dyDescent="0.25">
      <c r="A8" s="49" t="s">
        <v>48</v>
      </c>
      <c r="E8" s="49">
        <v>2</v>
      </c>
      <c r="F8" s="50">
        <f>F11*E8%</f>
        <v>401435.34020000004</v>
      </c>
      <c r="G8" s="51">
        <v>2212</v>
      </c>
    </row>
    <row r="9" spans="1:8" x14ac:dyDescent="0.25">
      <c r="A9" s="44" t="s">
        <v>49</v>
      </c>
      <c r="B9" s="44"/>
      <c r="C9" s="44"/>
      <c r="D9" s="44"/>
      <c r="E9" s="44">
        <v>1</v>
      </c>
      <c r="F9" s="45">
        <f>F11*E9%</f>
        <v>200717.67010000002</v>
      </c>
      <c r="G9" s="46">
        <v>2275</v>
      </c>
      <c r="H9" s="44"/>
    </row>
    <row r="10" spans="1:8" s="55" customFormat="1" x14ac:dyDescent="0.25">
      <c r="A10" s="55" t="s">
        <v>50</v>
      </c>
      <c r="E10" s="55">
        <v>1.5</v>
      </c>
      <c r="F10" s="56">
        <f>F11*E10%</f>
        <v>301076.50515000004</v>
      </c>
      <c r="G10" s="57">
        <v>2247</v>
      </c>
    </row>
    <row r="11" spans="1:8" x14ac:dyDescent="0.25">
      <c r="D11" s="11" t="s">
        <v>51</v>
      </c>
      <c r="E11" s="11">
        <v>100</v>
      </c>
      <c r="F11" s="43">
        <v>20071767.010000002</v>
      </c>
      <c r="G11" s="11" t="s">
        <v>52</v>
      </c>
    </row>
    <row r="12" spans="1:8" x14ac:dyDescent="0.25">
      <c r="D12" s="11" t="s">
        <v>53</v>
      </c>
      <c r="F12" s="43">
        <v>0</v>
      </c>
      <c r="G12" s="11" t="s">
        <v>54</v>
      </c>
    </row>
    <row r="15" spans="1:8" x14ac:dyDescent="0.25">
      <c r="A15" s="11" t="s">
        <v>76</v>
      </c>
    </row>
    <row r="17" spans="1:8" s="52" customFormat="1" x14ac:dyDescent="0.25">
      <c r="A17" s="52" t="s">
        <v>44</v>
      </c>
      <c r="E17" s="52">
        <v>65.5</v>
      </c>
      <c r="F17" s="53">
        <f>F24*E17%</f>
        <v>16623097.0879</v>
      </c>
      <c r="G17" s="54">
        <v>2211</v>
      </c>
    </row>
    <row r="18" spans="1:8" s="49" customFormat="1" x14ac:dyDescent="0.25">
      <c r="A18" s="49" t="s">
        <v>45</v>
      </c>
      <c r="E18" s="49">
        <v>10.5</v>
      </c>
      <c r="F18" s="50">
        <f>F24*E18%</f>
        <v>2664771.2889</v>
      </c>
      <c r="G18" s="51">
        <v>2212</v>
      </c>
    </row>
    <row r="19" spans="1:8" x14ac:dyDescent="0.25">
      <c r="A19" s="47" t="s">
        <v>46</v>
      </c>
      <c r="B19" s="47"/>
      <c r="C19" s="47"/>
      <c r="D19" s="47"/>
      <c r="E19" s="47">
        <v>3</v>
      </c>
      <c r="F19" s="42">
        <f>F24*E19%</f>
        <v>761363.2254</v>
      </c>
      <c r="G19" s="48">
        <v>2247</v>
      </c>
      <c r="H19" s="47"/>
    </row>
    <row r="20" spans="1:8" s="58" customFormat="1" x14ac:dyDescent="0.25">
      <c r="A20" s="58" t="s">
        <v>47</v>
      </c>
      <c r="E20" s="58">
        <v>16.5</v>
      </c>
      <c r="F20" s="59">
        <f>F24*E20%</f>
        <v>4187497.7397000003</v>
      </c>
      <c r="G20" s="60">
        <v>2236</v>
      </c>
    </row>
    <row r="21" spans="1:8" s="49" customFormat="1" x14ac:dyDescent="0.25">
      <c r="A21" s="49" t="s">
        <v>48</v>
      </c>
      <c r="E21" s="49">
        <v>2</v>
      </c>
      <c r="F21" s="50">
        <f>F24*E21%</f>
        <v>507575.48359999998</v>
      </c>
      <c r="G21" s="51">
        <v>2212</v>
      </c>
    </row>
    <row r="22" spans="1:8" x14ac:dyDescent="0.25">
      <c r="A22" s="44" t="s">
        <v>49</v>
      </c>
      <c r="B22" s="44"/>
      <c r="C22" s="44"/>
      <c r="D22" s="44"/>
      <c r="E22" s="44">
        <v>1</v>
      </c>
      <c r="F22" s="45">
        <f>F24*E22%</f>
        <v>253787.74179999999</v>
      </c>
      <c r="G22" s="46">
        <v>2275</v>
      </c>
      <c r="H22" s="44"/>
    </row>
    <row r="23" spans="1:8" s="55" customFormat="1" x14ac:dyDescent="0.25">
      <c r="A23" s="55" t="s">
        <v>50</v>
      </c>
      <c r="E23" s="55">
        <v>1.5</v>
      </c>
      <c r="F23" s="56">
        <f>F24*E23%</f>
        <v>380681.6127</v>
      </c>
      <c r="G23" s="57">
        <v>2247</v>
      </c>
    </row>
    <row r="24" spans="1:8" x14ac:dyDescent="0.25">
      <c r="D24" s="11" t="s">
        <v>51</v>
      </c>
      <c r="E24" s="11">
        <v>100</v>
      </c>
      <c r="F24" s="43">
        <v>25378774.18</v>
      </c>
      <c r="G24" s="11" t="s">
        <v>52</v>
      </c>
    </row>
    <row r="25" spans="1:8" x14ac:dyDescent="0.25">
      <c r="D25" s="11" t="s">
        <v>53</v>
      </c>
      <c r="F25" s="43">
        <v>0</v>
      </c>
      <c r="G25" s="11" t="s">
        <v>54</v>
      </c>
    </row>
    <row r="28" spans="1:8" x14ac:dyDescent="0.25">
      <c r="A28" s="11" t="s">
        <v>77</v>
      </c>
    </row>
    <row r="30" spans="1:8" s="52" customFormat="1" x14ac:dyDescent="0.25">
      <c r="A30" s="52" t="s">
        <v>44</v>
      </c>
      <c r="E30" s="52">
        <v>65.5</v>
      </c>
      <c r="F30" s="53">
        <f>F37*E30%</f>
        <v>21742133.823200002</v>
      </c>
      <c r="G30" s="54">
        <v>2211</v>
      </c>
    </row>
    <row r="31" spans="1:8" s="49" customFormat="1" x14ac:dyDescent="0.25">
      <c r="A31" s="49" t="s">
        <v>45</v>
      </c>
      <c r="E31" s="49">
        <v>10.5</v>
      </c>
      <c r="F31" s="50">
        <f>F37*E31%</f>
        <v>3485380.2311999998</v>
      </c>
      <c r="G31" s="51">
        <v>2212</v>
      </c>
    </row>
    <row r="32" spans="1:8" x14ac:dyDescent="0.25">
      <c r="A32" s="47" t="s">
        <v>46</v>
      </c>
      <c r="B32" s="47"/>
      <c r="C32" s="47"/>
      <c r="D32" s="47"/>
      <c r="E32" s="47">
        <v>3</v>
      </c>
      <c r="F32" s="42">
        <f>F37*E32%</f>
        <v>995822.92319999996</v>
      </c>
      <c r="G32" s="48">
        <v>2247</v>
      </c>
      <c r="H32" s="47"/>
    </row>
    <row r="33" spans="1:8" s="58" customFormat="1" x14ac:dyDescent="0.25">
      <c r="A33" s="58" t="s">
        <v>47</v>
      </c>
      <c r="E33" s="58">
        <v>16.5</v>
      </c>
      <c r="F33" s="59">
        <f>F37*E33%</f>
        <v>5477026.0776000004</v>
      </c>
      <c r="G33" s="60">
        <v>2236</v>
      </c>
    </row>
    <row r="34" spans="1:8" s="49" customFormat="1" x14ac:dyDescent="0.25">
      <c r="A34" s="49" t="s">
        <v>48</v>
      </c>
      <c r="E34" s="49">
        <v>2</v>
      </c>
      <c r="F34" s="50">
        <f>F37*E34%</f>
        <v>663881.94880000001</v>
      </c>
      <c r="G34" s="51">
        <v>2212</v>
      </c>
    </row>
    <row r="35" spans="1:8" x14ac:dyDescent="0.25">
      <c r="A35" s="44" t="s">
        <v>49</v>
      </c>
      <c r="B35" s="44"/>
      <c r="C35" s="44"/>
      <c r="D35" s="44"/>
      <c r="E35" s="44">
        <v>1</v>
      </c>
      <c r="F35" s="45">
        <f>F37*E35%</f>
        <v>331940.97440000001</v>
      </c>
      <c r="G35" s="46">
        <v>2275</v>
      </c>
      <c r="H35" s="44"/>
    </row>
    <row r="36" spans="1:8" s="55" customFormat="1" x14ac:dyDescent="0.25">
      <c r="A36" s="55" t="s">
        <v>50</v>
      </c>
      <c r="E36" s="55">
        <v>1.5</v>
      </c>
      <c r="F36" s="56">
        <f>F37*E36%</f>
        <v>497911.46159999998</v>
      </c>
      <c r="G36" s="57">
        <v>2247</v>
      </c>
    </row>
    <row r="37" spans="1:8" x14ac:dyDescent="0.25">
      <c r="D37" s="11" t="s">
        <v>51</v>
      </c>
      <c r="E37" s="11">
        <v>100</v>
      </c>
      <c r="F37" s="43">
        <v>33194097.440000001</v>
      </c>
      <c r="G37" s="11" t="s">
        <v>52</v>
      </c>
    </row>
    <row r="38" spans="1:8" x14ac:dyDescent="0.25">
      <c r="D38" s="11" t="s">
        <v>53</v>
      </c>
      <c r="F38" s="43">
        <v>0</v>
      </c>
      <c r="G38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9"/>
  <sheetViews>
    <sheetView workbookViewId="0">
      <selection activeCell="E13" sqref="E13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71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64"/>
      <c r="B9" s="64"/>
      <c r="C9" s="64"/>
      <c r="D9" s="64"/>
      <c r="E9" s="64"/>
      <c r="F9" s="64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64" t="s">
        <v>13</v>
      </c>
      <c r="B10" s="104" t="s">
        <v>14</v>
      </c>
      <c r="C10" s="10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9">
        <v>0.9</v>
      </c>
      <c r="C17" s="9">
        <v>2</v>
      </c>
      <c r="D17" s="9">
        <v>1</v>
      </c>
      <c r="E17" s="9">
        <v>0.9</v>
      </c>
      <c r="F17" s="9">
        <v>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0</v>
      </c>
      <c r="B19" s="5">
        <f>'01-2019'!F4</f>
        <v>3853806.4503500001</v>
      </c>
      <c r="C19" s="5">
        <f>'01-2019'!F5+'01-2019'!F8</f>
        <v>735459.24624999985</v>
      </c>
      <c r="D19" s="5">
        <f>'01-2019'!F7</f>
        <v>970806.20504999999</v>
      </c>
      <c r="E19" s="5">
        <f>'01-2019'!F6+'01-2019'!F10</f>
        <v>264765.32864999998</v>
      </c>
      <c r="F19" s="5">
        <f>'01-2019'!F9</f>
        <v>58836.739699999998</v>
      </c>
      <c r="G19" s="5">
        <f t="shared" ref="G19:G21" si="0">+B19+C19+D19+E19+F19</f>
        <v>5883673.9699999988</v>
      </c>
    </row>
    <row r="20" spans="1:14" x14ac:dyDescent="0.25">
      <c r="A20" s="16" t="s">
        <v>1</v>
      </c>
      <c r="B20" s="5">
        <f>'01-2019'!F17</f>
        <v>6880303.2952000005</v>
      </c>
      <c r="C20" s="5">
        <f>'01-2019'!F18+'01-2019'!F21</f>
        <v>1313034.98</v>
      </c>
      <c r="D20" s="5">
        <f>'01-2019'!F20</f>
        <v>1733206.1736000001</v>
      </c>
      <c r="E20" s="5">
        <f>'01-2019'!F19+'01-2019'!F23</f>
        <v>472692.59279999998</v>
      </c>
      <c r="F20" s="5">
        <f>'01-2019'!F22</f>
        <v>105042.7984</v>
      </c>
      <c r="G20" s="5">
        <f t="shared" si="0"/>
        <v>10504279.84</v>
      </c>
    </row>
    <row r="21" spans="1:14" x14ac:dyDescent="0.25">
      <c r="A21" s="16" t="s">
        <v>2</v>
      </c>
      <c r="B21" s="5">
        <f>'01-2019'!F30</f>
        <v>6312996.8828999996</v>
      </c>
      <c r="C21" s="5">
        <f>'01-2019'!F31+'01-2019'!F34</f>
        <v>1204770.3975</v>
      </c>
      <c r="D21" s="5">
        <f>'01-2019'!F33</f>
        <v>1590296.9247000001</v>
      </c>
      <c r="E21" s="5">
        <f>'01-2019'!F32+'01-2019'!F36</f>
        <v>433717.34309999994</v>
      </c>
      <c r="F21" s="5">
        <f>'01-2019'!F35</f>
        <v>96381.631800000003</v>
      </c>
      <c r="G21" s="5">
        <f t="shared" si="0"/>
        <v>9638163.1799999997</v>
      </c>
    </row>
    <row r="22" spans="1:14" x14ac:dyDescent="0.25">
      <c r="A22" s="39" t="s">
        <v>24</v>
      </c>
      <c r="B22" s="40">
        <f t="shared" ref="B22:G22" si="1">SUM(B19:B21)</f>
        <v>17047106.628449999</v>
      </c>
      <c r="C22" s="40">
        <f t="shared" si="1"/>
        <v>3253264.6237499998</v>
      </c>
      <c r="D22" s="40">
        <f t="shared" si="1"/>
        <v>4294309.3033500006</v>
      </c>
      <c r="E22" s="40">
        <f t="shared" si="1"/>
        <v>1171175.26455</v>
      </c>
      <c r="F22" s="40">
        <f t="shared" si="1"/>
        <v>260261.16990000001</v>
      </c>
      <c r="G22" s="40">
        <f t="shared" si="1"/>
        <v>26026116.989999998</v>
      </c>
    </row>
    <row r="23" spans="1:14" x14ac:dyDescent="0.25">
      <c r="F23" s="25"/>
    </row>
    <row r="29" spans="1:14" x14ac:dyDescent="0.25">
      <c r="F29" s="25"/>
    </row>
  </sheetData>
  <mergeCells count="5">
    <mergeCell ref="B10:C10"/>
    <mergeCell ref="A5:G5"/>
    <mergeCell ref="A6:G6"/>
    <mergeCell ref="A7:G7"/>
    <mergeCell ref="A8:G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topLeftCell="A19" workbookViewId="0">
      <selection activeCell="H10" sqref="H10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2" spans="1:8" x14ac:dyDescent="0.25">
      <c r="A2" s="11" t="s">
        <v>72</v>
      </c>
    </row>
    <row r="4" spans="1:8" s="52" customFormat="1" x14ac:dyDescent="0.25">
      <c r="A4" s="52" t="s">
        <v>44</v>
      </c>
      <c r="E4" s="52">
        <v>65.5</v>
      </c>
      <c r="F4" s="53">
        <f>F11*E4%</f>
        <v>3853806.4503500001</v>
      </c>
      <c r="G4" s="54">
        <v>2211</v>
      </c>
    </row>
    <row r="5" spans="1:8" s="49" customFormat="1" x14ac:dyDescent="0.25">
      <c r="A5" s="49" t="s">
        <v>45</v>
      </c>
      <c r="E5" s="49">
        <v>10.5</v>
      </c>
      <c r="F5" s="50">
        <f>F11*E5%</f>
        <v>617785.7668499999</v>
      </c>
      <c r="G5" s="51">
        <v>2212</v>
      </c>
    </row>
    <row r="6" spans="1:8" x14ac:dyDescent="0.25">
      <c r="A6" s="47" t="s">
        <v>46</v>
      </c>
      <c r="B6" s="47"/>
      <c r="C6" s="47"/>
      <c r="D6" s="47"/>
      <c r="E6" s="47">
        <v>3</v>
      </c>
      <c r="F6" s="42">
        <f>F11*E6%</f>
        <v>176510.21909999999</v>
      </c>
      <c r="G6" s="48">
        <v>2247</v>
      </c>
      <c r="H6" s="47"/>
    </row>
    <row r="7" spans="1:8" s="58" customFormat="1" x14ac:dyDescent="0.25">
      <c r="A7" s="58" t="s">
        <v>47</v>
      </c>
      <c r="E7" s="58">
        <v>16.5</v>
      </c>
      <c r="F7" s="59">
        <f>F11*E7%</f>
        <v>970806.20504999999</v>
      </c>
      <c r="G7" s="60">
        <v>2236</v>
      </c>
    </row>
    <row r="8" spans="1:8" s="49" customFormat="1" x14ac:dyDescent="0.25">
      <c r="A8" s="49" t="s">
        <v>48</v>
      </c>
      <c r="E8" s="49">
        <v>2</v>
      </c>
      <c r="F8" s="50">
        <f>F11*E8%</f>
        <v>117673.4794</v>
      </c>
      <c r="G8" s="51">
        <v>2212</v>
      </c>
    </row>
    <row r="9" spans="1:8" x14ac:dyDescent="0.25">
      <c r="A9" s="44" t="s">
        <v>49</v>
      </c>
      <c r="B9" s="44"/>
      <c r="C9" s="44"/>
      <c r="D9" s="44"/>
      <c r="E9" s="44">
        <v>1</v>
      </c>
      <c r="F9" s="45">
        <f>F11*E9%</f>
        <v>58836.739699999998</v>
      </c>
      <c r="G9" s="46">
        <v>2275</v>
      </c>
      <c r="H9" s="44"/>
    </row>
    <row r="10" spans="1:8" s="55" customFormat="1" x14ac:dyDescent="0.25">
      <c r="A10" s="55" t="s">
        <v>50</v>
      </c>
      <c r="E10" s="55">
        <v>1.5</v>
      </c>
      <c r="F10" s="56">
        <f>F11*E10%</f>
        <v>88255.109549999994</v>
      </c>
      <c r="G10" s="57">
        <v>2247</v>
      </c>
    </row>
    <row r="11" spans="1:8" x14ac:dyDescent="0.25">
      <c r="D11" s="11" t="s">
        <v>51</v>
      </c>
      <c r="E11" s="11">
        <v>100</v>
      </c>
      <c r="F11" s="43">
        <v>5883673.9699999997</v>
      </c>
      <c r="G11" s="11" t="s">
        <v>52</v>
      </c>
    </row>
    <row r="12" spans="1:8" x14ac:dyDescent="0.25">
      <c r="D12" s="11" t="s">
        <v>53</v>
      </c>
      <c r="F12" s="43">
        <v>0</v>
      </c>
      <c r="G12" s="11" t="s">
        <v>54</v>
      </c>
    </row>
    <row r="15" spans="1:8" x14ac:dyDescent="0.25">
      <c r="A15" s="11" t="s">
        <v>73</v>
      </c>
    </row>
    <row r="17" spans="1:8" s="52" customFormat="1" x14ac:dyDescent="0.25">
      <c r="A17" s="52" t="s">
        <v>44</v>
      </c>
      <c r="E17" s="52">
        <v>65.5</v>
      </c>
      <c r="F17" s="53">
        <f>F24*E17%</f>
        <v>6880303.2952000005</v>
      </c>
      <c r="G17" s="54">
        <v>2211</v>
      </c>
    </row>
    <row r="18" spans="1:8" s="49" customFormat="1" x14ac:dyDescent="0.25">
      <c r="A18" s="49" t="s">
        <v>45</v>
      </c>
      <c r="E18" s="49">
        <v>10.5</v>
      </c>
      <c r="F18" s="50">
        <f>F24*E18%</f>
        <v>1102949.3832</v>
      </c>
      <c r="G18" s="51">
        <v>2212</v>
      </c>
    </row>
    <row r="19" spans="1:8" x14ac:dyDescent="0.25">
      <c r="A19" s="47" t="s">
        <v>46</v>
      </c>
      <c r="B19" s="47"/>
      <c r="C19" s="47"/>
      <c r="D19" s="47"/>
      <c r="E19" s="47">
        <v>3</v>
      </c>
      <c r="F19" s="42">
        <f>F24*E19%</f>
        <v>315128.39519999997</v>
      </c>
      <c r="G19" s="48">
        <v>2247</v>
      </c>
      <c r="H19" s="47"/>
    </row>
    <row r="20" spans="1:8" s="58" customFormat="1" x14ac:dyDescent="0.25">
      <c r="A20" s="58" t="s">
        <v>47</v>
      </c>
      <c r="E20" s="58">
        <v>16.5</v>
      </c>
      <c r="F20" s="59">
        <f>F24*E20%</f>
        <v>1733206.1736000001</v>
      </c>
      <c r="G20" s="60">
        <v>2236</v>
      </c>
    </row>
    <row r="21" spans="1:8" s="49" customFormat="1" x14ac:dyDescent="0.25">
      <c r="A21" s="49" t="s">
        <v>48</v>
      </c>
      <c r="E21" s="49">
        <v>2</v>
      </c>
      <c r="F21" s="50">
        <f>F24*E21%</f>
        <v>210085.5968</v>
      </c>
      <c r="G21" s="51">
        <v>2212</v>
      </c>
    </row>
    <row r="22" spans="1:8" x14ac:dyDescent="0.25">
      <c r="A22" s="44" t="s">
        <v>49</v>
      </c>
      <c r="B22" s="44"/>
      <c r="C22" s="44"/>
      <c r="D22" s="44"/>
      <c r="E22" s="44">
        <v>1</v>
      </c>
      <c r="F22" s="45">
        <f>F24*E22%</f>
        <v>105042.7984</v>
      </c>
      <c r="G22" s="46">
        <v>2275</v>
      </c>
      <c r="H22" s="44"/>
    </row>
    <row r="23" spans="1:8" s="55" customFormat="1" x14ac:dyDescent="0.25">
      <c r="A23" s="55" t="s">
        <v>50</v>
      </c>
      <c r="E23" s="55">
        <v>1.5</v>
      </c>
      <c r="F23" s="56">
        <f>F24*E23%</f>
        <v>157564.19759999998</v>
      </c>
      <c r="G23" s="57">
        <v>2247</v>
      </c>
    </row>
    <row r="24" spans="1:8" x14ac:dyDescent="0.25">
      <c r="D24" s="11" t="s">
        <v>51</v>
      </c>
      <c r="E24" s="11">
        <v>100</v>
      </c>
      <c r="F24" s="43">
        <v>10504279.84</v>
      </c>
      <c r="G24" s="11" t="s">
        <v>52</v>
      </c>
    </row>
    <row r="25" spans="1:8" x14ac:dyDescent="0.25">
      <c r="D25" s="11" t="s">
        <v>53</v>
      </c>
      <c r="F25" s="43">
        <v>0</v>
      </c>
      <c r="G25" s="11" t="s">
        <v>54</v>
      </c>
    </row>
    <row r="28" spans="1:8" x14ac:dyDescent="0.25">
      <c r="A28" s="11" t="s">
        <v>74</v>
      </c>
    </row>
    <row r="30" spans="1:8" s="52" customFormat="1" x14ac:dyDescent="0.25">
      <c r="A30" s="52" t="s">
        <v>44</v>
      </c>
      <c r="E30" s="52">
        <v>65.5</v>
      </c>
      <c r="F30" s="53">
        <f>F37*E30%</f>
        <v>6312996.8828999996</v>
      </c>
      <c r="G30" s="54">
        <v>2211</v>
      </c>
    </row>
    <row r="31" spans="1:8" s="49" customFormat="1" x14ac:dyDescent="0.25">
      <c r="A31" s="49" t="s">
        <v>45</v>
      </c>
      <c r="E31" s="49">
        <v>10.5</v>
      </c>
      <c r="F31" s="50">
        <f>F37*E31%</f>
        <v>1012007.1338999999</v>
      </c>
      <c r="G31" s="51">
        <v>2212</v>
      </c>
    </row>
    <row r="32" spans="1:8" x14ac:dyDescent="0.25">
      <c r="A32" s="47" t="s">
        <v>46</v>
      </c>
      <c r="B32" s="47"/>
      <c r="C32" s="47"/>
      <c r="D32" s="47"/>
      <c r="E32" s="47">
        <v>3</v>
      </c>
      <c r="F32" s="42">
        <f>F37*E32%</f>
        <v>289144.89539999998</v>
      </c>
      <c r="G32" s="48">
        <v>2247</v>
      </c>
      <c r="H32" s="47"/>
    </row>
    <row r="33" spans="1:8" s="58" customFormat="1" x14ac:dyDescent="0.25">
      <c r="A33" s="58" t="s">
        <v>47</v>
      </c>
      <c r="E33" s="58">
        <v>16.5</v>
      </c>
      <c r="F33" s="59">
        <f>F37*E33%</f>
        <v>1590296.9247000001</v>
      </c>
      <c r="G33" s="60">
        <v>2236</v>
      </c>
    </row>
    <row r="34" spans="1:8" s="49" customFormat="1" x14ac:dyDescent="0.25">
      <c r="A34" s="49" t="s">
        <v>48</v>
      </c>
      <c r="E34" s="49">
        <v>2</v>
      </c>
      <c r="F34" s="50">
        <f>F37*E34%</f>
        <v>192763.26360000001</v>
      </c>
      <c r="G34" s="51">
        <v>2212</v>
      </c>
    </row>
    <row r="35" spans="1:8" x14ac:dyDescent="0.25">
      <c r="A35" s="44" t="s">
        <v>49</v>
      </c>
      <c r="B35" s="44"/>
      <c r="C35" s="44"/>
      <c r="D35" s="44"/>
      <c r="E35" s="44">
        <v>1</v>
      </c>
      <c r="F35" s="45">
        <f>F37*E35%</f>
        <v>96381.631800000003</v>
      </c>
      <c r="G35" s="46">
        <v>2275</v>
      </c>
      <c r="H35" s="44"/>
    </row>
    <row r="36" spans="1:8" s="55" customFormat="1" x14ac:dyDescent="0.25">
      <c r="A36" s="55" t="s">
        <v>50</v>
      </c>
      <c r="E36" s="55">
        <v>1.5</v>
      </c>
      <c r="F36" s="56">
        <f>F37*E36%</f>
        <v>144572.44769999999</v>
      </c>
      <c r="G36" s="57">
        <v>2247</v>
      </c>
    </row>
    <row r="37" spans="1:8" x14ac:dyDescent="0.25">
      <c r="D37" s="11" t="s">
        <v>51</v>
      </c>
      <c r="E37" s="11">
        <v>100</v>
      </c>
      <c r="F37" s="43">
        <v>9638163.1799999997</v>
      </c>
      <c r="G37" s="11" t="s">
        <v>52</v>
      </c>
    </row>
    <row r="38" spans="1:8" x14ac:dyDescent="0.25">
      <c r="D38" s="11" t="s">
        <v>53</v>
      </c>
      <c r="F38" s="43">
        <v>0</v>
      </c>
      <c r="G38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1"/>
  <sheetViews>
    <sheetView topLeftCell="A7" workbookViewId="0">
      <selection activeCell="B25" sqref="B25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3" spans="1:14" ht="15.75" x14ac:dyDescent="0.25">
      <c r="A3" s="104" t="s">
        <v>18</v>
      </c>
      <c r="B3" s="104"/>
      <c r="C3" s="104"/>
      <c r="D3" s="104"/>
      <c r="E3" s="104"/>
      <c r="F3" s="104"/>
      <c r="G3" s="15"/>
      <c r="H3" s="15"/>
      <c r="I3" s="15"/>
      <c r="J3" s="15"/>
      <c r="K3" s="15"/>
      <c r="L3" s="15"/>
      <c r="M3" s="15"/>
      <c r="N3" s="15"/>
    </row>
    <row r="4" spans="1:14" ht="15.75" x14ac:dyDescent="0.25">
      <c r="A4" s="104" t="s">
        <v>19</v>
      </c>
      <c r="B4" s="104"/>
      <c r="C4" s="104"/>
      <c r="D4" s="104"/>
      <c r="E4" s="104"/>
      <c r="F4" s="104"/>
      <c r="G4" s="15"/>
      <c r="H4" s="15"/>
      <c r="I4" s="15"/>
      <c r="J4" s="15"/>
      <c r="K4" s="15"/>
      <c r="L4" s="15"/>
      <c r="M4" s="15"/>
      <c r="N4" s="15"/>
    </row>
    <row r="5" spans="1:14" ht="15.75" x14ac:dyDescent="0.25">
      <c r="A5" s="104" t="s">
        <v>12</v>
      </c>
      <c r="B5" s="104"/>
      <c r="C5" s="104"/>
      <c r="D5" s="104"/>
      <c r="E5" s="104"/>
      <c r="F5" s="104"/>
      <c r="G5" s="15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67</v>
      </c>
      <c r="B6" s="104"/>
      <c r="C6" s="104"/>
      <c r="D6" s="104"/>
      <c r="E6" s="104"/>
      <c r="F6" s="104"/>
      <c r="G6" s="15"/>
      <c r="H6" s="15"/>
      <c r="I6" s="15"/>
      <c r="J6" s="15"/>
      <c r="K6" s="15"/>
      <c r="L6" s="15"/>
      <c r="M6" s="15"/>
      <c r="N6" s="15"/>
    </row>
    <row r="7" spans="1:14" ht="15.75" x14ac:dyDescent="0.25">
      <c r="A7" s="63"/>
      <c r="B7" s="63"/>
      <c r="C7" s="63"/>
      <c r="D7" s="63"/>
      <c r="E7" s="63"/>
      <c r="F7" s="63"/>
      <c r="G7" s="15"/>
      <c r="H7" s="15"/>
      <c r="I7" s="15"/>
      <c r="J7" s="15"/>
      <c r="K7" s="15"/>
      <c r="L7" s="15"/>
      <c r="M7" s="15"/>
      <c r="N7" s="15"/>
    </row>
    <row r="8" spans="1:14" ht="15.75" x14ac:dyDescent="0.25">
      <c r="A8" s="63" t="s">
        <v>13</v>
      </c>
      <c r="B8" s="104" t="s">
        <v>14</v>
      </c>
      <c r="C8" s="104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 s="11" customFormat="1" x14ac:dyDescent="0.25">
      <c r="A9" s="10">
        <v>2211</v>
      </c>
      <c r="B9" s="22" t="s">
        <v>17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9">
        <v>2212</v>
      </c>
      <c r="B10" s="3" t="s">
        <v>20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9">
        <v>2236</v>
      </c>
      <c r="B11" s="3" t="s">
        <v>21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9">
        <v>2247</v>
      </c>
      <c r="B12" s="3" t="s">
        <v>22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2275</v>
      </c>
      <c r="B13" s="3" t="s">
        <v>23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1"/>
      <c r="B14" s="9">
        <v>0.9</v>
      </c>
      <c r="C14" s="9">
        <v>2</v>
      </c>
      <c r="D14" s="9">
        <v>1</v>
      </c>
      <c r="E14" s="9">
        <v>0.9</v>
      </c>
      <c r="F14" s="9">
        <v>2</v>
      </c>
      <c r="G14" s="1"/>
      <c r="H14" s="1"/>
      <c r="I14" s="1"/>
      <c r="J14" s="1"/>
      <c r="K14" s="1"/>
      <c r="L14" s="1"/>
      <c r="M14" s="1"/>
    </row>
    <row r="15" spans="1:14" ht="15.75" x14ac:dyDescent="0.25">
      <c r="A15" s="2" t="s">
        <v>15</v>
      </c>
      <c r="B15" s="2">
        <v>2211</v>
      </c>
      <c r="C15" s="2">
        <v>2212</v>
      </c>
      <c r="D15" s="2">
        <v>2236</v>
      </c>
      <c r="E15" s="2">
        <v>2247</v>
      </c>
      <c r="F15" s="2">
        <v>2275</v>
      </c>
      <c r="G15" s="2" t="s">
        <v>25</v>
      </c>
      <c r="H15" s="12"/>
      <c r="I15" s="12"/>
      <c r="J15" s="12"/>
      <c r="K15" s="12"/>
      <c r="L15" s="12"/>
      <c r="M15" s="12"/>
      <c r="N15" s="12"/>
    </row>
    <row r="16" spans="1:14" x14ac:dyDescent="0.25">
      <c r="A16" s="4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f>+B16+C16+D16+E16+F16</f>
        <v>0</v>
      </c>
      <c r="H16" s="13"/>
      <c r="I16" s="13"/>
      <c r="J16" s="13"/>
      <c r="K16" s="13"/>
      <c r="L16" s="13"/>
      <c r="M16" s="13"/>
      <c r="N16" s="14"/>
    </row>
    <row r="17" spans="1:13" x14ac:dyDescent="0.25">
      <c r="A17" s="16" t="s">
        <v>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ref="G17:G27" si="0">+B17+C17+D17+E17+F17</f>
        <v>0</v>
      </c>
      <c r="H17" s="1"/>
      <c r="I17" s="1"/>
      <c r="J17" s="1"/>
      <c r="K17" s="1"/>
      <c r="L17" s="1"/>
      <c r="M17" s="1"/>
    </row>
    <row r="18" spans="1:13" x14ac:dyDescent="0.25">
      <c r="A18" s="16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f t="shared" si="0"/>
        <v>0</v>
      </c>
      <c r="H18" s="1"/>
      <c r="I18" s="1"/>
      <c r="J18" s="1"/>
      <c r="K18" s="1"/>
      <c r="L18" s="1"/>
      <c r="M18" s="1"/>
    </row>
    <row r="19" spans="1:13" x14ac:dyDescent="0.25">
      <c r="A19" s="17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f t="shared" si="0"/>
        <v>0</v>
      </c>
    </row>
    <row r="20" spans="1:13" x14ac:dyDescent="0.25">
      <c r="A20" s="17" t="s">
        <v>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f t="shared" si="0"/>
        <v>0</v>
      </c>
      <c r="H20" s="20"/>
    </row>
    <row r="21" spans="1:13" x14ac:dyDescent="0.25">
      <c r="A21" s="17" t="s">
        <v>5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f t="shared" si="0"/>
        <v>0</v>
      </c>
    </row>
    <row r="22" spans="1:13" x14ac:dyDescent="0.25">
      <c r="A22" s="17" t="s">
        <v>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f t="shared" si="0"/>
        <v>0</v>
      </c>
    </row>
    <row r="23" spans="1:13" x14ac:dyDescent="0.25">
      <c r="A23" s="17" t="s">
        <v>7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f t="shared" si="0"/>
        <v>0</v>
      </c>
    </row>
    <row r="24" spans="1:13" x14ac:dyDescent="0.25">
      <c r="A24" s="17" t="s">
        <v>8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f t="shared" si="0"/>
        <v>0</v>
      </c>
    </row>
    <row r="25" spans="1:13" x14ac:dyDescent="0.25">
      <c r="A25" s="17" t="s">
        <v>11</v>
      </c>
      <c r="B25" s="5">
        <f>'04-2018 '!F76</f>
        <v>503764.98674999998</v>
      </c>
      <c r="C25" s="5">
        <f>'04-2018 '!F77+'04-2018 '!F80</f>
        <v>96138.356249999997</v>
      </c>
      <c r="D25" s="5">
        <f>'04-2018 '!F79</f>
        <v>126902.63025</v>
      </c>
      <c r="E25" s="5">
        <f>'04-2018 '!F78+'04-2018 '!F82</f>
        <v>34609.808250000002</v>
      </c>
      <c r="F25" s="5">
        <f>'04-2018 '!F81</f>
        <v>7691.0685000000003</v>
      </c>
      <c r="G25" s="5">
        <f t="shared" si="0"/>
        <v>769106.85000000009</v>
      </c>
    </row>
    <row r="26" spans="1:13" x14ac:dyDescent="0.25">
      <c r="A26" s="17" t="s">
        <v>9</v>
      </c>
      <c r="B26" s="5">
        <f>'04-2018 '!F89</f>
        <v>684924.51340000005</v>
      </c>
      <c r="C26" s="5">
        <f>'04-2018 '!F90+'04-2018 '!F93</f>
        <v>130710.785</v>
      </c>
      <c r="D26" s="5">
        <f>'04-2018 '!F92</f>
        <v>172538.23620000001</v>
      </c>
      <c r="E26" s="5">
        <f>'04-2018 '!F91+'04-2018 '!F95</f>
        <v>47055.882599999997</v>
      </c>
      <c r="F26" s="5">
        <f>'04-2018 '!F94</f>
        <v>10456.862800000001</v>
      </c>
      <c r="G26" s="5">
        <f t="shared" si="0"/>
        <v>1045686.2800000001</v>
      </c>
    </row>
    <row r="27" spans="1:13" x14ac:dyDescent="0.25">
      <c r="A27" s="17" t="s">
        <v>10</v>
      </c>
      <c r="B27" s="5">
        <f>'04-2018 '!F102</f>
        <v>1403894.6430000002</v>
      </c>
      <c r="C27" s="5">
        <f>'04-2018 '!F103+'04-2018 '!F106</f>
        <v>267918.82500000001</v>
      </c>
      <c r="D27" s="5">
        <f>'04-2018 '!F105</f>
        <v>353652.84900000005</v>
      </c>
      <c r="E27" s="5">
        <f>'04-2018 '!F104+'04-2018 '!F108</f>
        <v>96450.777000000002</v>
      </c>
      <c r="F27" s="5">
        <f>'04-2018 '!F107</f>
        <v>21433.506000000001</v>
      </c>
      <c r="G27" s="5">
        <f t="shared" si="0"/>
        <v>2143350.6000000006</v>
      </c>
    </row>
    <row r="28" spans="1:13" x14ac:dyDescent="0.25">
      <c r="A28" s="39" t="s">
        <v>24</v>
      </c>
      <c r="B28" s="40">
        <f>SUM(B16:B27)</f>
        <v>2592584.1431499999</v>
      </c>
      <c r="C28" s="40">
        <f t="shared" ref="C28:E28" si="1">SUM(C16:C27)</f>
        <v>494767.96625</v>
      </c>
      <c r="D28" s="40">
        <f t="shared" si="1"/>
        <v>653093.71545000002</v>
      </c>
      <c r="E28" s="40">
        <f t="shared" si="1"/>
        <v>178116.46785000002</v>
      </c>
      <c r="F28" s="40">
        <f>SUM(F16:F27)</f>
        <v>39581.437300000005</v>
      </c>
      <c r="G28" s="41">
        <f>SUM(G16:G27)</f>
        <v>3958143.7300000009</v>
      </c>
    </row>
    <row r="29" spans="1:13" x14ac:dyDescent="0.25">
      <c r="F29" s="25"/>
    </row>
    <row r="35" spans="1:14" x14ac:dyDescent="0.25">
      <c r="F35" s="25" t="s">
        <v>26</v>
      </c>
    </row>
    <row r="36" spans="1:14" x14ac:dyDescent="0.25">
      <c r="A36" s="10">
        <v>2211</v>
      </c>
      <c r="B36" s="22" t="s">
        <v>17</v>
      </c>
      <c r="C36" s="22"/>
      <c r="D36" s="22"/>
      <c r="E36" s="23">
        <f>B28</f>
        <v>2592584.1431499999</v>
      </c>
      <c r="F36" s="10">
        <v>1.65</v>
      </c>
      <c r="G36" s="23">
        <f>E36*F36</f>
        <v>4277763.8361974992</v>
      </c>
      <c r="I36" s="22"/>
      <c r="J36" s="22"/>
      <c r="K36" s="22"/>
      <c r="L36" s="22"/>
      <c r="M36" s="22"/>
      <c r="N36" s="22"/>
    </row>
    <row r="37" spans="1:14" x14ac:dyDescent="0.25">
      <c r="A37" s="9">
        <v>2212</v>
      </c>
      <c r="B37" s="3" t="s">
        <v>20</v>
      </c>
      <c r="C37" s="3"/>
      <c r="D37" s="3"/>
      <c r="E37" s="24">
        <f>C28</f>
        <v>494767.96625</v>
      </c>
      <c r="F37" s="9">
        <v>1.65</v>
      </c>
      <c r="G37" s="24">
        <f>E37*F37</f>
        <v>816367.14431249991</v>
      </c>
      <c r="I37" s="3"/>
      <c r="J37" s="3"/>
      <c r="K37" s="3"/>
      <c r="L37" s="3"/>
      <c r="M37" s="3"/>
      <c r="N37" s="3"/>
    </row>
    <row r="38" spans="1:14" x14ac:dyDescent="0.25">
      <c r="A38" s="9">
        <v>2236</v>
      </c>
      <c r="B38" s="3" t="s">
        <v>21</v>
      </c>
      <c r="C38" s="3"/>
      <c r="D38" s="3"/>
      <c r="E38" s="24">
        <f>D28</f>
        <v>653093.71545000002</v>
      </c>
      <c r="F38" s="9">
        <v>1.65</v>
      </c>
      <c r="G38" s="24">
        <f>E38*F38</f>
        <v>1077604.6304925</v>
      </c>
      <c r="I38" s="3"/>
      <c r="J38" s="3"/>
      <c r="K38" s="3"/>
      <c r="L38" s="3"/>
      <c r="M38" s="3"/>
      <c r="N38" s="3"/>
    </row>
    <row r="39" spans="1:14" x14ac:dyDescent="0.25">
      <c r="A39" s="9">
        <v>2247</v>
      </c>
      <c r="B39" s="3" t="s">
        <v>22</v>
      </c>
      <c r="C39" s="3"/>
      <c r="D39" s="3"/>
      <c r="E39" s="24">
        <f>E28</f>
        <v>178116.46785000002</v>
      </c>
      <c r="F39" s="9">
        <v>1.65</v>
      </c>
      <c r="G39" s="24">
        <f>E39*F39</f>
        <v>293892.17195250001</v>
      </c>
      <c r="I39" s="3"/>
      <c r="J39" s="3"/>
      <c r="K39" s="3"/>
      <c r="L39" s="3"/>
      <c r="M39" s="3"/>
      <c r="N39" s="3"/>
    </row>
    <row r="40" spans="1:14" x14ac:dyDescent="0.25">
      <c r="A40" s="9">
        <v>2275</v>
      </c>
      <c r="B40" s="3" t="s">
        <v>23</v>
      </c>
      <c r="C40" s="3"/>
      <c r="D40" s="3"/>
      <c r="E40" s="24">
        <f>F28</f>
        <v>39581.437300000005</v>
      </c>
      <c r="F40" s="9">
        <v>1.65</v>
      </c>
      <c r="G40" s="33">
        <f>E40*F40</f>
        <v>65309.371545000002</v>
      </c>
      <c r="I40" s="3"/>
      <c r="J40" s="3"/>
      <c r="K40" s="3"/>
      <c r="L40" s="3"/>
      <c r="M40" s="3"/>
      <c r="N40" s="3"/>
    </row>
    <row r="41" spans="1:14" x14ac:dyDescent="0.25">
      <c r="G41" s="42">
        <f>SUM(G36:G40)</f>
        <v>6530937.1544999992</v>
      </c>
    </row>
  </sheetData>
  <mergeCells count="5">
    <mergeCell ref="A3:F3"/>
    <mergeCell ref="A4:F4"/>
    <mergeCell ref="A5:F5"/>
    <mergeCell ref="A6:F6"/>
    <mergeCell ref="B8:C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E11" sqref="E11"/>
    </sheetView>
  </sheetViews>
  <sheetFormatPr baseColWidth="10" defaultRowHeight="15" x14ac:dyDescent="0.25"/>
  <cols>
    <col min="1" max="5" width="11.42578125" style="11"/>
    <col min="6" max="6" width="16.42578125" style="11" bestFit="1" customWidth="1"/>
    <col min="7" max="16384" width="11.42578125" style="11"/>
  </cols>
  <sheetData>
    <row r="2" spans="1:35" x14ac:dyDescent="0.25">
      <c r="A2" s="11" t="s">
        <v>107</v>
      </c>
    </row>
    <row r="4" spans="1:35" s="52" customFormat="1" ht="15.75" x14ac:dyDescent="0.25">
      <c r="A4" s="52" t="s">
        <v>44</v>
      </c>
      <c r="E4" s="52">
        <v>36</v>
      </c>
      <c r="F4" s="53">
        <f>F11*E4%</f>
        <v>5501875711.4963999</v>
      </c>
      <c r="G4" s="98" t="s">
        <v>115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ht="15.75" x14ac:dyDescent="0.25">
      <c r="A5" s="49" t="s">
        <v>45</v>
      </c>
      <c r="E5" s="49">
        <v>9</v>
      </c>
      <c r="F5" s="50">
        <f>F11*E5%</f>
        <v>1375468927.8741</v>
      </c>
      <c r="G5" s="99" t="s">
        <v>116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ht="15.75" x14ac:dyDescent="0.25">
      <c r="A6" s="49" t="s">
        <v>48</v>
      </c>
      <c r="B6" s="49"/>
      <c r="C6" s="49"/>
      <c r="D6" s="49"/>
      <c r="E6" s="49">
        <v>4</v>
      </c>
      <c r="F6" s="50">
        <f>F11*E6%</f>
        <v>611319523.49960005</v>
      </c>
      <c r="G6" s="99" t="s">
        <v>116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ht="15.75" x14ac:dyDescent="0.25">
      <c r="A7" s="58" t="s">
        <v>47</v>
      </c>
      <c r="E7" s="58">
        <v>25</v>
      </c>
      <c r="F7" s="59">
        <f>F11*E7%</f>
        <v>3820747021.8724999</v>
      </c>
      <c r="G7" s="100" t="s">
        <v>117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ht="15.75" x14ac:dyDescent="0.25">
      <c r="A8" s="74" t="s">
        <v>46</v>
      </c>
      <c r="B8" s="74"/>
      <c r="C8" s="74"/>
      <c r="D8" s="74"/>
      <c r="E8" s="74">
        <v>5</v>
      </c>
      <c r="F8" s="75">
        <f>F11*E8%</f>
        <v>764149404.37450004</v>
      </c>
      <c r="G8" s="101" t="s">
        <v>118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ht="15.75" x14ac:dyDescent="0.25">
      <c r="A9" s="74" t="s">
        <v>50</v>
      </c>
      <c r="B9" s="74"/>
      <c r="C9" s="74"/>
      <c r="D9" s="74"/>
      <c r="E9" s="74">
        <v>12</v>
      </c>
      <c r="F9" s="75">
        <f>F11*E9%</f>
        <v>1833958570.4987998</v>
      </c>
      <c r="G9" s="101" t="s">
        <v>118</v>
      </c>
    </row>
    <row r="10" spans="1:35" s="74" customFormat="1" ht="15.75" x14ac:dyDescent="0.25">
      <c r="A10" s="44" t="s">
        <v>49</v>
      </c>
      <c r="B10" s="44"/>
      <c r="C10" s="44"/>
      <c r="D10" s="44"/>
      <c r="E10" s="44">
        <v>9</v>
      </c>
      <c r="F10" s="45">
        <f>F11*E10%</f>
        <v>1375468927.8741</v>
      </c>
      <c r="G10" s="102" t="s">
        <v>119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f>SUM(E4:E10)</f>
        <v>100</v>
      </c>
      <c r="F11" s="43">
        <f>+'[1]METRO VENTAS Y COMP '!$B$136</f>
        <v>15282988087.49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55" workbookViewId="0">
      <selection activeCell="F76" sqref="F76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1" spans="1:7" x14ac:dyDescent="0.25">
      <c r="A1" s="11" t="s">
        <v>59</v>
      </c>
    </row>
    <row r="3" spans="1:7" s="52" customFormat="1" x14ac:dyDescent="0.25">
      <c r="A3" s="52" t="s">
        <v>44</v>
      </c>
      <c r="E3" s="52">
        <v>65.5</v>
      </c>
      <c r="F3" s="53">
        <f>F10*E3%</f>
        <v>1237030473.5929501</v>
      </c>
      <c r="G3" s="54">
        <v>2211</v>
      </c>
    </row>
    <row r="4" spans="1:7" s="49" customFormat="1" x14ac:dyDescent="0.25">
      <c r="A4" s="49" t="s">
        <v>45</v>
      </c>
      <c r="E4" s="49">
        <v>10.5</v>
      </c>
      <c r="F4" s="50">
        <f>F10*E4%</f>
        <v>198302595.00345001</v>
      </c>
      <c r="G4" s="51">
        <v>2212</v>
      </c>
    </row>
    <row r="5" spans="1:7" s="47" customFormat="1" x14ac:dyDescent="0.25">
      <c r="A5" s="47" t="s">
        <v>46</v>
      </c>
      <c r="E5" s="47">
        <v>3</v>
      </c>
      <c r="F5" s="42">
        <f>F10*E5%</f>
        <v>56657884.286700003</v>
      </c>
      <c r="G5" s="48">
        <v>2247</v>
      </c>
    </row>
    <row r="6" spans="1:7" s="58" customFormat="1" x14ac:dyDescent="0.25">
      <c r="A6" s="58" t="s">
        <v>47</v>
      </c>
      <c r="E6" s="58">
        <v>16.5</v>
      </c>
      <c r="F6" s="59">
        <f>F10*E6%</f>
        <v>311618363.57685006</v>
      </c>
      <c r="G6" s="60">
        <v>2236</v>
      </c>
    </row>
    <row r="7" spans="1:7" s="49" customFormat="1" x14ac:dyDescent="0.25">
      <c r="A7" s="49" t="s">
        <v>48</v>
      </c>
      <c r="E7" s="49">
        <v>2</v>
      </c>
      <c r="F7" s="50">
        <f>F10*E7%</f>
        <v>37771922.857799999</v>
      </c>
      <c r="G7" s="51">
        <v>2212</v>
      </c>
    </row>
    <row r="8" spans="1:7" s="44" customFormat="1" x14ac:dyDescent="0.25">
      <c r="A8" s="44" t="s">
        <v>49</v>
      </c>
      <c r="E8" s="44">
        <v>1</v>
      </c>
      <c r="F8" s="45">
        <f>F10*E8%</f>
        <v>18885961.4289</v>
      </c>
      <c r="G8" s="46">
        <v>2275</v>
      </c>
    </row>
    <row r="9" spans="1:7" s="55" customFormat="1" x14ac:dyDescent="0.25">
      <c r="A9" s="55" t="s">
        <v>50</v>
      </c>
      <c r="E9" s="55">
        <v>1.5</v>
      </c>
      <c r="F9" s="56">
        <f>F10*E9%</f>
        <v>28328942.143350001</v>
      </c>
      <c r="G9" s="57">
        <v>2247</v>
      </c>
    </row>
    <row r="10" spans="1:7" x14ac:dyDescent="0.25">
      <c r="D10" s="11" t="s">
        <v>51</v>
      </c>
      <c r="E10" s="11">
        <v>100</v>
      </c>
      <c r="F10" s="43">
        <v>1888596142.8900001</v>
      </c>
      <c r="G10" s="11" t="s">
        <v>52</v>
      </c>
    </row>
    <row r="11" spans="1:7" x14ac:dyDescent="0.25">
      <c r="D11" s="11" t="s">
        <v>53</v>
      </c>
      <c r="F11" s="43">
        <v>0</v>
      </c>
      <c r="G11" s="11" t="s">
        <v>54</v>
      </c>
    </row>
    <row r="13" spans="1:7" x14ac:dyDescent="0.25">
      <c r="A13" s="11" t="s">
        <v>60</v>
      </c>
    </row>
    <row r="15" spans="1:7" s="52" customFormat="1" x14ac:dyDescent="0.25">
      <c r="A15" s="52" t="s">
        <v>44</v>
      </c>
      <c r="E15" s="52">
        <v>65.5</v>
      </c>
      <c r="F15" s="53">
        <f>F22*E15%</f>
        <v>2568904689.7709002</v>
      </c>
      <c r="G15" s="54">
        <v>2211</v>
      </c>
    </row>
    <row r="16" spans="1:7" s="49" customFormat="1" x14ac:dyDescent="0.25">
      <c r="A16" s="49" t="s">
        <v>45</v>
      </c>
      <c r="E16" s="49">
        <v>10.5</v>
      </c>
      <c r="F16" s="50">
        <f>F22*E16%</f>
        <v>411809148.74190003</v>
      </c>
      <c r="G16" s="51">
        <v>2212</v>
      </c>
    </row>
    <row r="17" spans="1:8" x14ac:dyDescent="0.25">
      <c r="A17" s="47" t="s">
        <v>46</v>
      </c>
      <c r="B17" s="47"/>
      <c r="C17" s="47"/>
      <c r="D17" s="47"/>
      <c r="E17" s="47">
        <v>3</v>
      </c>
      <c r="F17" s="42">
        <f>F22*E17%</f>
        <v>117659756.7834</v>
      </c>
      <c r="G17" s="48">
        <v>2247</v>
      </c>
      <c r="H17" s="47"/>
    </row>
    <row r="18" spans="1:8" s="58" customFormat="1" x14ac:dyDescent="0.25">
      <c r="A18" s="58" t="s">
        <v>47</v>
      </c>
      <c r="E18" s="58">
        <v>16.5</v>
      </c>
      <c r="F18" s="59">
        <f>F22*E18%</f>
        <v>647128662.30870008</v>
      </c>
      <c r="G18" s="60">
        <v>2236</v>
      </c>
    </row>
    <row r="19" spans="1:8" s="49" customFormat="1" x14ac:dyDescent="0.25">
      <c r="A19" s="49" t="s">
        <v>48</v>
      </c>
      <c r="E19" s="49">
        <v>2</v>
      </c>
      <c r="F19" s="50">
        <f>F22*E19%</f>
        <v>78439837.855599999</v>
      </c>
      <c r="G19" s="51">
        <v>2212</v>
      </c>
    </row>
    <row r="20" spans="1:8" x14ac:dyDescent="0.25">
      <c r="A20" s="44" t="s">
        <v>49</v>
      </c>
      <c r="B20" s="44"/>
      <c r="C20" s="44"/>
      <c r="D20" s="44"/>
      <c r="E20" s="44">
        <v>1</v>
      </c>
      <c r="F20" s="45">
        <f>F22*E20%</f>
        <v>39219918.9278</v>
      </c>
      <c r="G20" s="46">
        <v>2275</v>
      </c>
      <c r="H20" s="44"/>
    </row>
    <row r="21" spans="1:8" s="55" customFormat="1" x14ac:dyDescent="0.25">
      <c r="A21" s="55" t="s">
        <v>50</v>
      </c>
      <c r="E21" s="55">
        <v>1.5</v>
      </c>
      <c r="F21" s="56">
        <f>F22*E21%</f>
        <v>58829878.3917</v>
      </c>
      <c r="G21" s="57">
        <v>2247</v>
      </c>
    </row>
    <row r="22" spans="1:8" x14ac:dyDescent="0.25">
      <c r="D22" s="11" t="s">
        <v>51</v>
      </c>
      <c r="E22" s="11">
        <v>100</v>
      </c>
      <c r="F22" s="43">
        <v>3921991892.7800002</v>
      </c>
      <c r="G22" s="11" t="s">
        <v>52</v>
      </c>
    </row>
    <row r="23" spans="1:8" x14ac:dyDescent="0.25">
      <c r="D23" s="11" t="s">
        <v>53</v>
      </c>
      <c r="F23" s="43">
        <v>0</v>
      </c>
      <c r="G23" s="11" t="s">
        <v>54</v>
      </c>
    </row>
    <row r="25" spans="1:8" x14ac:dyDescent="0.25">
      <c r="A25" s="11" t="s">
        <v>61</v>
      </c>
    </row>
    <row r="27" spans="1:8" s="52" customFormat="1" x14ac:dyDescent="0.25">
      <c r="A27" s="52" t="s">
        <v>44</v>
      </c>
      <c r="E27" s="52">
        <v>65.5</v>
      </c>
      <c r="F27" s="53">
        <f>F34*E27%</f>
        <v>3940483609.9931998</v>
      </c>
      <c r="G27" s="54">
        <v>2211</v>
      </c>
    </row>
    <row r="28" spans="1:8" s="49" customFormat="1" x14ac:dyDescent="0.25">
      <c r="A28" s="49" t="s">
        <v>45</v>
      </c>
      <c r="E28" s="49">
        <v>10.5</v>
      </c>
      <c r="F28" s="50">
        <f>F34*E28%</f>
        <v>631680578.70119989</v>
      </c>
      <c r="G28" s="51">
        <v>2212</v>
      </c>
    </row>
    <row r="29" spans="1:8" x14ac:dyDescent="0.25">
      <c r="A29" s="47" t="s">
        <v>46</v>
      </c>
      <c r="B29" s="47"/>
      <c r="C29" s="47"/>
      <c r="D29" s="47"/>
      <c r="E29" s="47">
        <v>3</v>
      </c>
      <c r="F29" s="42">
        <f>F34*E29%</f>
        <v>180480165.34319997</v>
      </c>
      <c r="G29" s="48">
        <v>2247</v>
      </c>
      <c r="H29" s="47"/>
    </row>
    <row r="30" spans="1:8" s="58" customFormat="1" x14ac:dyDescent="0.25">
      <c r="A30" s="58" t="s">
        <v>47</v>
      </c>
      <c r="E30" s="58">
        <v>16.5</v>
      </c>
      <c r="F30" s="59">
        <f>F34*E30%</f>
        <v>992640909.38759995</v>
      </c>
      <c r="G30" s="60">
        <v>2236</v>
      </c>
    </row>
    <row r="31" spans="1:8" s="49" customFormat="1" x14ac:dyDescent="0.25">
      <c r="A31" s="49" t="s">
        <v>48</v>
      </c>
      <c r="E31" s="49">
        <v>2</v>
      </c>
      <c r="F31" s="50">
        <f>F34*E31%</f>
        <v>120320110.2288</v>
      </c>
      <c r="G31" s="51">
        <v>2212</v>
      </c>
    </row>
    <row r="32" spans="1:8" x14ac:dyDescent="0.25">
      <c r="A32" s="44" t="s">
        <v>49</v>
      </c>
      <c r="B32" s="44"/>
      <c r="C32" s="44"/>
      <c r="D32" s="44"/>
      <c r="E32" s="44">
        <v>1</v>
      </c>
      <c r="F32" s="45">
        <f>F34*E32%</f>
        <v>60160055.114399999</v>
      </c>
      <c r="G32" s="46">
        <v>2275</v>
      </c>
      <c r="H32" s="44"/>
    </row>
    <row r="33" spans="1:8" s="55" customFormat="1" x14ac:dyDescent="0.25">
      <c r="A33" s="55" t="s">
        <v>50</v>
      </c>
      <c r="E33" s="55">
        <v>1.5</v>
      </c>
      <c r="F33" s="56">
        <f>F34*E33%</f>
        <v>90240082.671599984</v>
      </c>
      <c r="G33" s="57">
        <v>2247</v>
      </c>
    </row>
    <row r="34" spans="1:8" x14ac:dyDescent="0.25">
      <c r="D34" s="11" t="s">
        <v>51</v>
      </c>
      <c r="E34" s="11">
        <v>100</v>
      </c>
      <c r="F34" s="43">
        <v>6016005511.4399996</v>
      </c>
      <c r="G34" s="11" t="s">
        <v>52</v>
      </c>
    </row>
    <row r="35" spans="1:8" x14ac:dyDescent="0.25">
      <c r="D35" s="11" t="s">
        <v>53</v>
      </c>
      <c r="F35" s="43">
        <v>0</v>
      </c>
      <c r="G35" s="11" t="s">
        <v>54</v>
      </c>
    </row>
    <row r="37" spans="1:8" x14ac:dyDescent="0.25">
      <c r="A37" s="11" t="s">
        <v>64</v>
      </c>
    </row>
    <row r="39" spans="1:8" s="52" customFormat="1" x14ac:dyDescent="0.25">
      <c r="A39" s="52" t="s">
        <v>44</v>
      </c>
      <c r="E39" s="52">
        <v>65.5</v>
      </c>
      <c r="F39" s="53">
        <f>F46*E39%</f>
        <v>55139.845350000003</v>
      </c>
      <c r="G39" s="54">
        <v>2211</v>
      </c>
    </row>
    <row r="40" spans="1:8" s="49" customFormat="1" x14ac:dyDescent="0.25">
      <c r="A40" s="49" t="s">
        <v>45</v>
      </c>
      <c r="E40" s="49">
        <v>10.5</v>
      </c>
      <c r="F40" s="50">
        <f>F46*E40%</f>
        <v>8839.2118499999997</v>
      </c>
      <c r="G40" s="51">
        <v>2212</v>
      </c>
    </row>
    <row r="41" spans="1:8" x14ac:dyDescent="0.25">
      <c r="A41" s="47" t="s">
        <v>46</v>
      </c>
      <c r="B41" s="47"/>
      <c r="C41" s="47"/>
      <c r="D41" s="47"/>
      <c r="E41" s="47">
        <v>3</v>
      </c>
      <c r="F41" s="42">
        <f>F46*E41%</f>
        <v>2525.4890999999998</v>
      </c>
      <c r="G41" s="48">
        <v>2247</v>
      </c>
      <c r="H41" s="47"/>
    </row>
    <row r="42" spans="1:8" s="58" customFormat="1" x14ac:dyDescent="0.25">
      <c r="A42" s="58" t="s">
        <v>47</v>
      </c>
      <c r="E42" s="58">
        <v>16.5</v>
      </c>
      <c r="F42" s="59">
        <f>F46*E42%</f>
        <v>13890.190050000001</v>
      </c>
      <c r="G42" s="60">
        <v>2236</v>
      </c>
    </row>
    <row r="43" spans="1:8" s="49" customFormat="1" x14ac:dyDescent="0.25">
      <c r="A43" s="49" t="s">
        <v>48</v>
      </c>
      <c r="E43" s="49">
        <v>2</v>
      </c>
      <c r="F43" s="50">
        <f>F46*E43%</f>
        <v>1683.6594</v>
      </c>
      <c r="G43" s="51">
        <v>2212</v>
      </c>
    </row>
    <row r="44" spans="1:8" x14ac:dyDescent="0.25">
      <c r="A44" s="44" t="s">
        <v>49</v>
      </c>
      <c r="B44" s="44"/>
      <c r="C44" s="44"/>
      <c r="D44" s="44"/>
      <c r="E44" s="44">
        <v>1</v>
      </c>
      <c r="F44" s="45">
        <f>F46*E44%</f>
        <v>841.8297</v>
      </c>
      <c r="G44" s="46">
        <v>2275</v>
      </c>
      <c r="H44" s="44"/>
    </row>
    <row r="45" spans="1:8" s="55" customFormat="1" x14ac:dyDescent="0.25">
      <c r="A45" s="55" t="s">
        <v>50</v>
      </c>
      <c r="E45" s="55">
        <v>1.5</v>
      </c>
      <c r="F45" s="56">
        <f>F46*E45%</f>
        <v>1262.7445499999999</v>
      </c>
      <c r="G45" s="57">
        <v>2247</v>
      </c>
    </row>
    <row r="46" spans="1:8" x14ac:dyDescent="0.25">
      <c r="D46" s="11" t="s">
        <v>51</v>
      </c>
      <c r="E46" s="11">
        <v>100</v>
      </c>
      <c r="F46" s="43">
        <v>84182.97</v>
      </c>
      <c r="G46" s="11" t="s">
        <v>52</v>
      </c>
    </row>
    <row r="47" spans="1:8" x14ac:dyDescent="0.25">
      <c r="D47" s="11" t="s">
        <v>53</v>
      </c>
      <c r="F47" s="43">
        <v>0</v>
      </c>
      <c r="G47" s="11" t="s">
        <v>54</v>
      </c>
    </row>
    <row r="49" spans="1:8" x14ac:dyDescent="0.25">
      <c r="A49" s="11" t="s">
        <v>65</v>
      </c>
    </row>
    <row r="51" spans="1:8" s="52" customFormat="1" x14ac:dyDescent="0.25">
      <c r="A51" s="52" t="s">
        <v>44</v>
      </c>
      <c r="E51" s="52">
        <v>65.5</v>
      </c>
      <c r="F51" s="53">
        <f>F58*E51%</f>
        <v>115289.82500000001</v>
      </c>
      <c r="G51" s="54">
        <v>2211</v>
      </c>
    </row>
    <row r="52" spans="1:8" s="49" customFormat="1" x14ac:dyDescent="0.25">
      <c r="A52" s="49" t="s">
        <v>45</v>
      </c>
      <c r="E52" s="49">
        <v>10.5</v>
      </c>
      <c r="F52" s="50">
        <f>F58*E52%</f>
        <v>18481.575000000001</v>
      </c>
      <c r="G52" s="51">
        <v>2212</v>
      </c>
    </row>
    <row r="53" spans="1:8" x14ac:dyDescent="0.25">
      <c r="A53" s="47" t="s">
        <v>46</v>
      </c>
      <c r="B53" s="47"/>
      <c r="C53" s="47"/>
      <c r="D53" s="47"/>
      <c r="E53" s="47">
        <v>3</v>
      </c>
      <c r="F53" s="42">
        <f>F58*E53%</f>
        <v>5280.45</v>
      </c>
      <c r="G53" s="48">
        <v>2247</v>
      </c>
      <c r="H53" s="47"/>
    </row>
    <row r="54" spans="1:8" s="58" customFormat="1" x14ac:dyDescent="0.25">
      <c r="A54" s="58" t="s">
        <v>47</v>
      </c>
      <c r="E54" s="58">
        <v>16.5</v>
      </c>
      <c r="F54" s="59">
        <f>F58*E54%</f>
        <v>29042.475000000002</v>
      </c>
      <c r="G54" s="60">
        <v>2236</v>
      </c>
    </row>
    <row r="55" spans="1:8" s="49" customFormat="1" x14ac:dyDescent="0.25">
      <c r="A55" s="49" t="s">
        <v>48</v>
      </c>
      <c r="E55" s="49">
        <v>2</v>
      </c>
      <c r="F55" s="50">
        <f>F58*E55%</f>
        <v>3520.3</v>
      </c>
      <c r="G55" s="51">
        <v>2212</v>
      </c>
    </row>
    <row r="56" spans="1:8" x14ac:dyDescent="0.25">
      <c r="A56" s="44" t="s">
        <v>49</v>
      </c>
      <c r="B56" s="44"/>
      <c r="C56" s="44"/>
      <c r="D56" s="44"/>
      <c r="E56" s="44">
        <v>1</v>
      </c>
      <c r="F56" s="45">
        <f>F58*E56%</f>
        <v>1760.15</v>
      </c>
      <c r="G56" s="46">
        <v>2275</v>
      </c>
      <c r="H56" s="44"/>
    </row>
    <row r="57" spans="1:8" s="55" customFormat="1" x14ac:dyDescent="0.25">
      <c r="A57" s="55" t="s">
        <v>50</v>
      </c>
      <c r="E57" s="55">
        <v>1.5</v>
      </c>
      <c r="F57" s="56">
        <f>F58*E57%</f>
        <v>2640.2249999999999</v>
      </c>
      <c r="G57" s="57">
        <v>2247</v>
      </c>
    </row>
    <row r="58" spans="1:8" x14ac:dyDescent="0.25">
      <c r="D58" s="11" t="s">
        <v>51</v>
      </c>
      <c r="E58" s="11">
        <v>100</v>
      </c>
      <c r="F58" s="43">
        <v>176015</v>
      </c>
      <c r="G58" s="11" t="s">
        <v>52</v>
      </c>
    </row>
    <row r="59" spans="1:8" x14ac:dyDescent="0.25">
      <c r="D59" s="11" t="s">
        <v>53</v>
      </c>
      <c r="F59" s="43">
        <v>0</v>
      </c>
      <c r="G59" s="11" t="s">
        <v>54</v>
      </c>
    </row>
    <row r="61" spans="1:8" x14ac:dyDescent="0.25">
      <c r="A61" s="11" t="s">
        <v>66</v>
      </c>
    </row>
    <row r="63" spans="1:8" s="52" customFormat="1" x14ac:dyDescent="0.25">
      <c r="A63" s="52" t="s">
        <v>44</v>
      </c>
      <c r="E63" s="52">
        <v>65.5</v>
      </c>
      <c r="F63" s="53">
        <f>F70*E63%</f>
        <v>239179.9179</v>
      </c>
      <c r="G63" s="54">
        <v>2211</v>
      </c>
    </row>
    <row r="64" spans="1:8" s="49" customFormat="1" x14ac:dyDescent="0.25">
      <c r="A64" s="49" t="s">
        <v>45</v>
      </c>
      <c r="E64" s="49">
        <v>10.5</v>
      </c>
      <c r="F64" s="50">
        <f>F70*E64%</f>
        <v>38341.818899999998</v>
      </c>
      <c r="G64" s="51">
        <v>2212</v>
      </c>
    </row>
    <row r="65" spans="1:8" x14ac:dyDescent="0.25">
      <c r="A65" s="47" t="s">
        <v>46</v>
      </c>
      <c r="B65" s="47"/>
      <c r="C65" s="47"/>
      <c r="D65" s="47"/>
      <c r="E65" s="47">
        <v>3</v>
      </c>
      <c r="F65" s="42">
        <f>F70*E65%</f>
        <v>10954.805399999999</v>
      </c>
      <c r="G65" s="48">
        <v>2247</v>
      </c>
      <c r="H65" s="47"/>
    </row>
    <row r="66" spans="1:8" s="58" customFormat="1" x14ac:dyDescent="0.25">
      <c r="A66" s="58" t="s">
        <v>47</v>
      </c>
      <c r="E66" s="58">
        <v>16.5</v>
      </c>
      <c r="F66" s="59">
        <f>F70*E66%</f>
        <v>60251.429700000001</v>
      </c>
      <c r="G66" s="60">
        <v>2236</v>
      </c>
    </row>
    <row r="67" spans="1:8" s="49" customFormat="1" x14ac:dyDescent="0.25">
      <c r="A67" s="49" t="s">
        <v>48</v>
      </c>
      <c r="E67" s="49">
        <v>2</v>
      </c>
      <c r="F67" s="50">
        <f>F70*E67%</f>
        <v>7303.2035999999998</v>
      </c>
      <c r="G67" s="51">
        <v>2212</v>
      </c>
    </row>
    <row r="68" spans="1:8" x14ac:dyDescent="0.25">
      <c r="A68" s="44" t="s">
        <v>49</v>
      </c>
      <c r="B68" s="44"/>
      <c r="C68" s="44"/>
      <c r="D68" s="44"/>
      <c r="E68" s="44">
        <v>1</v>
      </c>
      <c r="F68" s="45">
        <f>F70*E68%</f>
        <v>3651.6017999999999</v>
      </c>
      <c r="G68" s="46">
        <v>2275</v>
      </c>
      <c r="H68" s="44"/>
    </row>
    <row r="69" spans="1:8" s="55" customFormat="1" x14ac:dyDescent="0.25">
      <c r="A69" s="55" t="s">
        <v>50</v>
      </c>
      <c r="E69" s="55">
        <v>1.5</v>
      </c>
      <c r="F69" s="56">
        <f>F70*E69%</f>
        <v>5477.4026999999996</v>
      </c>
      <c r="G69" s="57">
        <v>2247</v>
      </c>
    </row>
    <row r="70" spans="1:8" x14ac:dyDescent="0.25">
      <c r="D70" s="11" t="s">
        <v>51</v>
      </c>
      <c r="E70" s="11">
        <v>100</v>
      </c>
      <c r="F70" s="43">
        <f>62020.54+92230.27+101170.47+109738.9</f>
        <v>365160.18</v>
      </c>
      <c r="G70" s="11" t="s">
        <v>52</v>
      </c>
    </row>
    <row r="71" spans="1:8" x14ac:dyDescent="0.25">
      <c r="D71" s="11" t="s">
        <v>53</v>
      </c>
      <c r="F71" s="43">
        <v>0</v>
      </c>
      <c r="G71" s="11" t="s">
        <v>54</v>
      </c>
    </row>
    <row r="74" spans="1:8" x14ac:dyDescent="0.25">
      <c r="A74" s="11" t="s">
        <v>68</v>
      </c>
    </row>
    <row r="76" spans="1:8" s="52" customFormat="1" x14ac:dyDescent="0.25">
      <c r="A76" s="52" t="s">
        <v>44</v>
      </c>
      <c r="E76" s="52">
        <v>65.5</v>
      </c>
      <c r="F76" s="53">
        <f>F83*E76%</f>
        <v>503764.98674999998</v>
      </c>
      <c r="G76" s="54">
        <v>2211</v>
      </c>
    </row>
    <row r="77" spans="1:8" s="49" customFormat="1" x14ac:dyDescent="0.25">
      <c r="A77" s="49" t="s">
        <v>45</v>
      </c>
      <c r="E77" s="49">
        <v>10.5</v>
      </c>
      <c r="F77" s="50">
        <f>F83*E77%</f>
        <v>80756.219249999995</v>
      </c>
      <c r="G77" s="51">
        <v>2212</v>
      </c>
    </row>
    <row r="78" spans="1:8" x14ac:dyDescent="0.25">
      <c r="A78" s="47" t="s">
        <v>46</v>
      </c>
      <c r="B78" s="47"/>
      <c r="C78" s="47"/>
      <c r="D78" s="47"/>
      <c r="E78" s="47">
        <v>3</v>
      </c>
      <c r="F78" s="42">
        <f>F83*E78%</f>
        <v>23073.2055</v>
      </c>
      <c r="G78" s="48">
        <v>2247</v>
      </c>
      <c r="H78" s="47"/>
    </row>
    <row r="79" spans="1:8" s="58" customFormat="1" x14ac:dyDescent="0.25">
      <c r="A79" s="58" t="s">
        <v>47</v>
      </c>
      <c r="E79" s="58">
        <v>16.5</v>
      </c>
      <c r="F79" s="59">
        <f>F83*E79%</f>
        <v>126902.63025</v>
      </c>
      <c r="G79" s="60">
        <v>2236</v>
      </c>
    </row>
    <row r="80" spans="1:8" s="49" customFormat="1" x14ac:dyDescent="0.25">
      <c r="A80" s="49" t="s">
        <v>48</v>
      </c>
      <c r="E80" s="49">
        <v>2</v>
      </c>
      <c r="F80" s="50">
        <f>F83*E80%</f>
        <v>15382.137000000001</v>
      </c>
      <c r="G80" s="51">
        <v>2212</v>
      </c>
    </row>
    <row r="81" spans="1:8" x14ac:dyDescent="0.25">
      <c r="A81" s="44" t="s">
        <v>49</v>
      </c>
      <c r="B81" s="44"/>
      <c r="C81" s="44"/>
      <c r="D81" s="44"/>
      <c r="E81" s="44">
        <v>1</v>
      </c>
      <c r="F81" s="45">
        <f>F83*E81%</f>
        <v>7691.0685000000003</v>
      </c>
      <c r="G81" s="46">
        <v>2275</v>
      </c>
      <c r="H81" s="44"/>
    </row>
    <row r="82" spans="1:8" s="55" customFormat="1" x14ac:dyDescent="0.25">
      <c r="A82" s="55" t="s">
        <v>50</v>
      </c>
      <c r="E82" s="55">
        <v>1.5</v>
      </c>
      <c r="F82" s="56">
        <f>F83*E82%</f>
        <v>11536.60275</v>
      </c>
      <c r="G82" s="57">
        <v>2247</v>
      </c>
    </row>
    <row r="83" spans="1:8" x14ac:dyDescent="0.25">
      <c r="D83" s="11" t="s">
        <v>51</v>
      </c>
      <c r="E83" s="11">
        <v>100</v>
      </c>
      <c r="F83" s="43">
        <v>769106.85</v>
      </c>
      <c r="G83" s="11" t="s">
        <v>52</v>
      </c>
    </row>
    <row r="84" spans="1:8" x14ac:dyDescent="0.25">
      <c r="D84" s="11" t="s">
        <v>53</v>
      </c>
      <c r="F84" s="43">
        <v>0</v>
      </c>
      <c r="G84" s="11" t="s">
        <v>54</v>
      </c>
    </row>
    <row r="87" spans="1:8" x14ac:dyDescent="0.25">
      <c r="A87" s="11" t="s">
        <v>69</v>
      </c>
    </row>
    <row r="89" spans="1:8" s="52" customFormat="1" x14ac:dyDescent="0.25">
      <c r="A89" s="52" t="s">
        <v>44</v>
      </c>
      <c r="E89" s="52">
        <v>65.5</v>
      </c>
      <c r="F89" s="53">
        <f>F96*E89%</f>
        <v>684924.51340000005</v>
      </c>
      <c r="G89" s="54">
        <v>2211</v>
      </c>
    </row>
    <row r="90" spans="1:8" s="49" customFormat="1" x14ac:dyDescent="0.25">
      <c r="A90" s="49" t="s">
        <v>45</v>
      </c>
      <c r="E90" s="49">
        <v>10.5</v>
      </c>
      <c r="F90" s="50">
        <f>F96*E90%</f>
        <v>109797.0594</v>
      </c>
      <c r="G90" s="51">
        <v>2212</v>
      </c>
    </row>
    <row r="91" spans="1:8" x14ac:dyDescent="0.25">
      <c r="A91" s="47" t="s">
        <v>46</v>
      </c>
      <c r="B91" s="47"/>
      <c r="C91" s="47"/>
      <c r="D91" s="47"/>
      <c r="E91" s="47">
        <v>3</v>
      </c>
      <c r="F91" s="42">
        <f>F96*E91%</f>
        <v>31370.588400000001</v>
      </c>
      <c r="G91" s="48">
        <v>2247</v>
      </c>
      <c r="H91" s="47"/>
    </row>
    <row r="92" spans="1:8" s="58" customFormat="1" x14ac:dyDescent="0.25">
      <c r="A92" s="58" t="s">
        <v>47</v>
      </c>
      <c r="E92" s="58">
        <v>16.5</v>
      </c>
      <c r="F92" s="59">
        <f>F96*E92%</f>
        <v>172538.23620000001</v>
      </c>
      <c r="G92" s="60">
        <v>2236</v>
      </c>
    </row>
    <row r="93" spans="1:8" s="49" customFormat="1" x14ac:dyDescent="0.25">
      <c r="A93" s="49" t="s">
        <v>48</v>
      </c>
      <c r="E93" s="49">
        <v>2</v>
      </c>
      <c r="F93" s="50">
        <f>F96*E93%</f>
        <v>20913.725600000002</v>
      </c>
      <c r="G93" s="51">
        <v>2212</v>
      </c>
    </row>
    <row r="94" spans="1:8" x14ac:dyDescent="0.25">
      <c r="A94" s="44" t="s">
        <v>49</v>
      </c>
      <c r="B94" s="44"/>
      <c r="C94" s="44"/>
      <c r="D94" s="44"/>
      <c r="E94" s="44">
        <v>1</v>
      </c>
      <c r="F94" s="45">
        <f>F96*E94%</f>
        <v>10456.862800000001</v>
      </c>
      <c r="G94" s="46">
        <v>2275</v>
      </c>
      <c r="H94" s="44"/>
    </row>
    <row r="95" spans="1:8" s="55" customFormat="1" x14ac:dyDescent="0.25">
      <c r="A95" s="55" t="s">
        <v>50</v>
      </c>
      <c r="E95" s="55">
        <v>1.5</v>
      </c>
      <c r="F95" s="56">
        <f>F96*E95%</f>
        <v>15685.2942</v>
      </c>
      <c r="G95" s="57">
        <v>2247</v>
      </c>
    </row>
    <row r="96" spans="1:8" x14ac:dyDescent="0.25">
      <c r="D96" s="11" t="s">
        <v>51</v>
      </c>
      <c r="E96" s="11">
        <v>100</v>
      </c>
      <c r="F96" s="43">
        <v>1045686.28</v>
      </c>
      <c r="G96" s="11" t="s">
        <v>52</v>
      </c>
    </row>
    <row r="97" spans="1:8" x14ac:dyDescent="0.25">
      <c r="D97" s="11" t="s">
        <v>53</v>
      </c>
      <c r="F97" s="43">
        <v>0</v>
      </c>
      <c r="G97" s="11" t="s">
        <v>54</v>
      </c>
    </row>
    <row r="100" spans="1:8" x14ac:dyDescent="0.25">
      <c r="A100" s="11" t="s">
        <v>70</v>
      </c>
    </row>
    <row r="102" spans="1:8" s="52" customFormat="1" x14ac:dyDescent="0.25">
      <c r="A102" s="52" t="s">
        <v>44</v>
      </c>
      <c r="E102" s="52">
        <v>65.5</v>
      </c>
      <c r="F102" s="53">
        <f>F109*E102%</f>
        <v>1403894.6430000002</v>
      </c>
      <c r="G102" s="54">
        <v>2211</v>
      </c>
    </row>
    <row r="103" spans="1:8" s="49" customFormat="1" x14ac:dyDescent="0.25">
      <c r="A103" s="49" t="s">
        <v>45</v>
      </c>
      <c r="E103" s="49">
        <v>10.5</v>
      </c>
      <c r="F103" s="50">
        <f>F109*E103%</f>
        <v>225051.81299999999</v>
      </c>
      <c r="G103" s="51">
        <v>2212</v>
      </c>
    </row>
    <row r="104" spans="1:8" x14ac:dyDescent="0.25">
      <c r="A104" s="47" t="s">
        <v>46</v>
      </c>
      <c r="B104" s="47"/>
      <c r="C104" s="47"/>
      <c r="D104" s="47"/>
      <c r="E104" s="47">
        <v>3</v>
      </c>
      <c r="F104" s="42">
        <f>F109*E104%</f>
        <v>64300.518000000004</v>
      </c>
      <c r="G104" s="48">
        <v>2247</v>
      </c>
      <c r="H104" s="47"/>
    </row>
    <row r="105" spans="1:8" s="58" customFormat="1" x14ac:dyDescent="0.25">
      <c r="A105" s="58" t="s">
        <v>47</v>
      </c>
      <c r="E105" s="58">
        <v>16.5</v>
      </c>
      <c r="F105" s="59">
        <f>F109*E105%</f>
        <v>353652.84900000005</v>
      </c>
      <c r="G105" s="60">
        <v>2236</v>
      </c>
    </row>
    <row r="106" spans="1:8" s="49" customFormat="1" x14ac:dyDescent="0.25">
      <c r="A106" s="49" t="s">
        <v>48</v>
      </c>
      <c r="E106" s="49">
        <v>2</v>
      </c>
      <c r="F106" s="50">
        <f>F109*E106%</f>
        <v>42867.012000000002</v>
      </c>
      <c r="G106" s="51">
        <v>2212</v>
      </c>
    </row>
    <row r="107" spans="1:8" x14ac:dyDescent="0.25">
      <c r="A107" s="44" t="s">
        <v>49</v>
      </c>
      <c r="B107" s="44"/>
      <c r="C107" s="44"/>
      <c r="D107" s="44"/>
      <c r="E107" s="44">
        <v>1</v>
      </c>
      <c r="F107" s="45">
        <f>F109*E107%</f>
        <v>21433.506000000001</v>
      </c>
      <c r="G107" s="46">
        <v>2275</v>
      </c>
      <c r="H107" s="44"/>
    </row>
    <row r="108" spans="1:8" s="55" customFormat="1" x14ac:dyDescent="0.25">
      <c r="A108" s="55" t="s">
        <v>50</v>
      </c>
      <c r="E108" s="55">
        <v>1.5</v>
      </c>
      <c r="F108" s="56">
        <f>F109*E108%</f>
        <v>32150.259000000002</v>
      </c>
      <c r="G108" s="57">
        <v>2247</v>
      </c>
    </row>
    <row r="109" spans="1:8" x14ac:dyDescent="0.25">
      <c r="D109" s="11" t="s">
        <v>51</v>
      </c>
      <c r="E109" s="11">
        <v>100</v>
      </c>
      <c r="F109" s="43">
        <v>2143350.6</v>
      </c>
      <c r="G109" s="11" t="s">
        <v>52</v>
      </c>
    </row>
    <row r="110" spans="1:8" x14ac:dyDescent="0.25">
      <c r="D110" s="11" t="s">
        <v>53</v>
      </c>
      <c r="F110" s="43">
        <v>0</v>
      </c>
      <c r="G110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1"/>
  <sheetViews>
    <sheetView topLeftCell="A10" workbookViewId="0">
      <selection activeCell="E31" sqref="E31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3" spans="1:14" ht="15.75" x14ac:dyDescent="0.25">
      <c r="A3" s="104" t="s">
        <v>18</v>
      </c>
      <c r="B3" s="104"/>
      <c r="C3" s="104"/>
      <c r="D3" s="104"/>
      <c r="E3" s="104"/>
      <c r="F3" s="104"/>
      <c r="G3" s="15"/>
      <c r="H3" s="15"/>
      <c r="I3" s="15"/>
      <c r="J3" s="15"/>
      <c r="K3" s="15"/>
      <c r="L3" s="15"/>
      <c r="M3" s="15"/>
      <c r="N3" s="15"/>
    </row>
    <row r="4" spans="1:14" ht="15.75" x14ac:dyDescent="0.25">
      <c r="A4" s="104" t="s">
        <v>19</v>
      </c>
      <c r="B4" s="104"/>
      <c r="C4" s="104"/>
      <c r="D4" s="104"/>
      <c r="E4" s="104"/>
      <c r="F4" s="104"/>
      <c r="G4" s="15"/>
      <c r="H4" s="15"/>
      <c r="I4" s="15"/>
      <c r="J4" s="15"/>
      <c r="K4" s="15"/>
      <c r="L4" s="15"/>
      <c r="M4" s="15"/>
      <c r="N4" s="15"/>
    </row>
    <row r="5" spans="1:14" ht="15.75" x14ac:dyDescent="0.25">
      <c r="A5" s="104" t="s">
        <v>12</v>
      </c>
      <c r="B5" s="104"/>
      <c r="C5" s="104"/>
      <c r="D5" s="104"/>
      <c r="E5" s="104"/>
      <c r="F5" s="104"/>
      <c r="G5" s="15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63</v>
      </c>
      <c r="B6" s="104"/>
      <c r="C6" s="104"/>
      <c r="D6" s="104"/>
      <c r="E6" s="104"/>
      <c r="F6" s="104"/>
      <c r="G6" s="15"/>
      <c r="H6" s="15"/>
      <c r="I6" s="15"/>
      <c r="J6" s="15"/>
      <c r="K6" s="15"/>
      <c r="L6" s="15"/>
      <c r="M6" s="15"/>
      <c r="N6" s="15"/>
    </row>
    <row r="7" spans="1:14" ht="15.75" x14ac:dyDescent="0.25">
      <c r="A7" s="62"/>
      <c r="B7" s="62"/>
      <c r="C7" s="62"/>
      <c r="D7" s="62"/>
      <c r="E7" s="62"/>
      <c r="F7" s="62"/>
      <c r="G7" s="15"/>
      <c r="H7" s="15"/>
      <c r="I7" s="15"/>
      <c r="J7" s="15"/>
      <c r="K7" s="15"/>
      <c r="L7" s="15"/>
      <c r="M7" s="15"/>
      <c r="N7" s="15"/>
    </row>
    <row r="8" spans="1:14" ht="15.75" x14ac:dyDescent="0.25">
      <c r="A8" s="62" t="s">
        <v>13</v>
      </c>
      <c r="B8" s="104" t="s">
        <v>14</v>
      </c>
      <c r="C8" s="104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 s="11" customFormat="1" x14ac:dyDescent="0.25">
      <c r="A9" s="10">
        <v>2211</v>
      </c>
      <c r="B9" s="22" t="s">
        <v>17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9">
        <v>2212</v>
      </c>
      <c r="B10" s="3" t="s">
        <v>20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9">
        <v>2236</v>
      </c>
      <c r="B11" s="3" t="s">
        <v>21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9">
        <v>2247</v>
      </c>
      <c r="B12" s="3" t="s">
        <v>22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2275</v>
      </c>
      <c r="B13" s="3" t="s">
        <v>23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1"/>
      <c r="B14" s="9">
        <v>0.9</v>
      </c>
      <c r="C14" s="9">
        <v>2</v>
      </c>
      <c r="D14" s="9">
        <v>1</v>
      </c>
      <c r="E14" s="9">
        <v>0.9</v>
      </c>
      <c r="F14" s="9">
        <v>2</v>
      </c>
      <c r="G14" s="1"/>
      <c r="H14" s="1"/>
      <c r="I14" s="1"/>
      <c r="J14" s="1"/>
      <c r="K14" s="1"/>
      <c r="L14" s="1"/>
      <c r="M14" s="1"/>
    </row>
    <row r="15" spans="1:14" ht="15.75" x14ac:dyDescent="0.25">
      <c r="A15" s="2" t="s">
        <v>15</v>
      </c>
      <c r="B15" s="2">
        <v>2211</v>
      </c>
      <c r="C15" s="2">
        <v>2212</v>
      </c>
      <c r="D15" s="2">
        <v>2236</v>
      </c>
      <c r="E15" s="2">
        <v>2247</v>
      </c>
      <c r="F15" s="2">
        <v>2275</v>
      </c>
      <c r="G15" s="2" t="s">
        <v>25</v>
      </c>
      <c r="H15" s="12"/>
      <c r="I15" s="12"/>
      <c r="J15" s="12"/>
      <c r="K15" s="12"/>
      <c r="L15" s="12"/>
      <c r="M15" s="12"/>
      <c r="N15" s="12"/>
    </row>
    <row r="16" spans="1:14" x14ac:dyDescent="0.25">
      <c r="A16" s="4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f>+B16+C16+D16+E16+F16</f>
        <v>0</v>
      </c>
      <c r="H16" s="13"/>
      <c r="I16" s="13"/>
      <c r="J16" s="13"/>
      <c r="K16" s="13"/>
      <c r="L16" s="13"/>
      <c r="M16" s="13"/>
      <c r="N16" s="14"/>
    </row>
    <row r="17" spans="1:13" x14ac:dyDescent="0.25">
      <c r="A17" s="16" t="s">
        <v>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ref="G17:G27" si="0">+B17+C17+D17+E17+F17</f>
        <v>0</v>
      </c>
      <c r="H17" s="1"/>
      <c r="I17" s="1"/>
      <c r="J17" s="1"/>
      <c r="K17" s="1"/>
      <c r="L17" s="1"/>
      <c r="M17" s="1"/>
    </row>
    <row r="18" spans="1:13" x14ac:dyDescent="0.25">
      <c r="A18" s="16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f t="shared" si="0"/>
        <v>0</v>
      </c>
      <c r="H18" s="1"/>
      <c r="I18" s="1"/>
      <c r="J18" s="1"/>
      <c r="K18" s="1"/>
      <c r="L18" s="1"/>
      <c r="M18" s="1"/>
    </row>
    <row r="19" spans="1:13" x14ac:dyDescent="0.25">
      <c r="A19" s="17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f t="shared" si="0"/>
        <v>0</v>
      </c>
    </row>
    <row r="20" spans="1:13" x14ac:dyDescent="0.25">
      <c r="A20" s="17" t="s">
        <v>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f t="shared" si="0"/>
        <v>0</v>
      </c>
      <c r="H20" s="20"/>
    </row>
    <row r="21" spans="1:13" x14ac:dyDescent="0.25">
      <c r="A21" s="17" t="s">
        <v>5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f t="shared" si="0"/>
        <v>0</v>
      </c>
    </row>
    <row r="22" spans="1:13" x14ac:dyDescent="0.25">
      <c r="A22" s="17" t="s">
        <v>6</v>
      </c>
      <c r="B22" s="5">
        <f>'03-2018'!F39</f>
        <v>55139.845350000003</v>
      </c>
      <c r="C22" s="5">
        <f>'03-2018'!F40+'03-2018'!F43</f>
        <v>10522.87125</v>
      </c>
      <c r="D22" s="5">
        <f>'03-2018'!F42</f>
        <v>13890.190050000001</v>
      </c>
      <c r="E22" s="5">
        <f>'03-2018'!F41+'03-2018'!F45</f>
        <v>3788.2336499999997</v>
      </c>
      <c r="F22" s="5">
        <f>'03-2018'!F44</f>
        <v>841.8297</v>
      </c>
      <c r="G22" s="5">
        <f t="shared" si="0"/>
        <v>84182.97</v>
      </c>
    </row>
    <row r="23" spans="1:13" x14ac:dyDescent="0.25">
      <c r="A23" s="17" t="s">
        <v>7</v>
      </c>
      <c r="B23" s="5">
        <f>'03-2018'!F51</f>
        <v>115289.82500000001</v>
      </c>
      <c r="C23" s="5">
        <f>'03-2018'!F52+'03-2018'!F55</f>
        <v>22001.875</v>
      </c>
      <c r="D23" s="5">
        <f>'03-2018'!F54</f>
        <v>29042.475000000002</v>
      </c>
      <c r="E23" s="5">
        <f>'03-2018'!F53+'03-2018'!F57</f>
        <v>7920.6749999999993</v>
      </c>
      <c r="F23" s="5">
        <f>'03-2018'!F56</f>
        <v>1760.15</v>
      </c>
      <c r="G23" s="5">
        <f t="shared" si="0"/>
        <v>176015</v>
      </c>
    </row>
    <row r="24" spans="1:13" x14ac:dyDescent="0.25">
      <c r="A24" s="17" t="s">
        <v>8</v>
      </c>
      <c r="B24" s="5">
        <f>'03-2018'!F63</f>
        <v>239179.9179</v>
      </c>
      <c r="C24" s="5">
        <f>'03-2018'!F64+'03-2018'!F67</f>
        <v>45645.022499999999</v>
      </c>
      <c r="D24" s="5">
        <f>'03-2018'!F66</f>
        <v>60251.429700000001</v>
      </c>
      <c r="E24" s="5">
        <f>'03-2018'!F65+'03-2018'!F69</f>
        <v>16432.2081</v>
      </c>
      <c r="F24" s="5">
        <f>'03-2018'!F68</f>
        <v>3651.6017999999999</v>
      </c>
      <c r="G24" s="5">
        <f t="shared" si="0"/>
        <v>365160.18</v>
      </c>
    </row>
    <row r="25" spans="1:13" x14ac:dyDescent="0.25">
      <c r="A25" s="17" t="s">
        <v>11</v>
      </c>
      <c r="B25" s="5"/>
      <c r="C25" s="5"/>
      <c r="D25" s="5"/>
      <c r="E25" s="5"/>
      <c r="F25" s="5"/>
      <c r="G25" s="5">
        <f t="shared" si="0"/>
        <v>0</v>
      </c>
    </row>
    <row r="26" spans="1:13" x14ac:dyDescent="0.25">
      <c r="A26" s="17" t="s">
        <v>9</v>
      </c>
      <c r="B26" s="5"/>
      <c r="C26" s="5"/>
      <c r="D26" s="5"/>
      <c r="E26" s="5"/>
      <c r="F26" s="5"/>
      <c r="G26" s="5">
        <f t="shared" si="0"/>
        <v>0</v>
      </c>
    </row>
    <row r="27" spans="1:13" x14ac:dyDescent="0.25">
      <c r="A27" s="17" t="s">
        <v>10</v>
      </c>
      <c r="B27" s="5"/>
      <c r="C27" s="5"/>
      <c r="D27" s="5"/>
      <c r="E27" s="5"/>
      <c r="F27" s="5"/>
      <c r="G27" s="5">
        <f t="shared" si="0"/>
        <v>0</v>
      </c>
    </row>
    <row r="28" spans="1:13" x14ac:dyDescent="0.25">
      <c r="A28" s="39" t="s">
        <v>24</v>
      </c>
      <c r="B28" s="40">
        <f>SUM(B16:B27)</f>
        <v>409609.58825000003</v>
      </c>
      <c r="C28" s="40">
        <f t="shared" ref="C28:E28" si="1">SUM(C16:C27)</f>
        <v>78169.768750000003</v>
      </c>
      <c r="D28" s="40">
        <f t="shared" si="1"/>
        <v>103184.09475</v>
      </c>
      <c r="E28" s="40">
        <f t="shared" si="1"/>
        <v>28141.116750000001</v>
      </c>
      <c r="F28" s="40">
        <f>SUM(F16:F27)</f>
        <v>6253.5815000000002</v>
      </c>
      <c r="G28" s="41">
        <f>SUM(G16:G27)</f>
        <v>625358.15</v>
      </c>
    </row>
    <row r="29" spans="1:13" x14ac:dyDescent="0.25">
      <c r="F29" s="25"/>
    </row>
    <row r="35" spans="1:14" x14ac:dyDescent="0.25">
      <c r="F35" s="25" t="s">
        <v>26</v>
      </c>
    </row>
    <row r="36" spans="1:14" x14ac:dyDescent="0.25">
      <c r="A36" s="10">
        <v>2211</v>
      </c>
      <c r="B36" s="22" t="s">
        <v>17</v>
      </c>
      <c r="C36" s="22"/>
      <c r="D36" s="22"/>
      <c r="E36" s="23">
        <f>B28</f>
        <v>409609.58825000003</v>
      </c>
      <c r="F36" s="10">
        <v>1.65</v>
      </c>
      <c r="G36" s="23">
        <f>E36*F36</f>
        <v>675855.82061249996</v>
      </c>
      <c r="I36" s="22"/>
      <c r="J36" s="22"/>
      <c r="K36" s="22"/>
      <c r="L36" s="22"/>
      <c r="M36" s="22"/>
      <c r="N36" s="22"/>
    </row>
    <row r="37" spans="1:14" x14ac:dyDescent="0.25">
      <c r="A37" s="9">
        <v>2212</v>
      </c>
      <c r="B37" s="3" t="s">
        <v>20</v>
      </c>
      <c r="C37" s="3"/>
      <c r="D37" s="3"/>
      <c r="E37" s="24">
        <f>C28</f>
        <v>78169.768750000003</v>
      </c>
      <c r="F37" s="9">
        <v>1.65</v>
      </c>
      <c r="G37" s="24">
        <f>E37*F37</f>
        <v>128980.1184375</v>
      </c>
      <c r="I37" s="3"/>
      <c r="J37" s="3"/>
      <c r="K37" s="3"/>
      <c r="L37" s="3"/>
      <c r="M37" s="3"/>
      <c r="N37" s="3"/>
    </row>
    <row r="38" spans="1:14" x14ac:dyDescent="0.25">
      <c r="A38" s="9">
        <v>2236</v>
      </c>
      <c r="B38" s="3" t="s">
        <v>21</v>
      </c>
      <c r="C38" s="3"/>
      <c r="D38" s="3"/>
      <c r="E38" s="24">
        <f>D28</f>
        <v>103184.09475</v>
      </c>
      <c r="F38" s="9">
        <v>1.65</v>
      </c>
      <c r="G38" s="24">
        <f>E38*F38</f>
        <v>170253.7563375</v>
      </c>
      <c r="I38" s="3"/>
      <c r="J38" s="3"/>
      <c r="K38" s="3"/>
      <c r="L38" s="3"/>
      <c r="M38" s="3"/>
      <c r="N38" s="3"/>
    </row>
    <row r="39" spans="1:14" x14ac:dyDescent="0.25">
      <c r="A39" s="9">
        <v>2247</v>
      </c>
      <c r="B39" s="3" t="s">
        <v>22</v>
      </c>
      <c r="C39" s="3"/>
      <c r="D39" s="3"/>
      <c r="E39" s="24">
        <f>E28</f>
        <v>28141.116750000001</v>
      </c>
      <c r="F39" s="9">
        <v>1.65</v>
      </c>
      <c r="G39" s="24">
        <f>E39*F39</f>
        <v>46432.842637499998</v>
      </c>
      <c r="I39" s="3"/>
      <c r="J39" s="3"/>
      <c r="K39" s="3"/>
      <c r="L39" s="3"/>
      <c r="M39" s="3"/>
      <c r="N39" s="3"/>
    </row>
    <row r="40" spans="1:14" x14ac:dyDescent="0.25">
      <c r="A40" s="9">
        <v>2275</v>
      </c>
      <c r="B40" s="3" t="s">
        <v>23</v>
      </c>
      <c r="C40" s="3"/>
      <c r="D40" s="3"/>
      <c r="E40" s="24">
        <f>F28</f>
        <v>6253.5815000000002</v>
      </c>
      <c r="F40" s="9">
        <v>1.65</v>
      </c>
      <c r="G40" s="33">
        <f>E40*F40</f>
        <v>10318.409475</v>
      </c>
      <c r="I40" s="3"/>
      <c r="J40" s="3"/>
      <c r="K40" s="3"/>
      <c r="L40" s="3"/>
      <c r="M40" s="3"/>
      <c r="N40" s="3"/>
    </row>
    <row r="41" spans="1:14" x14ac:dyDescent="0.25">
      <c r="G41" s="42">
        <f>SUM(G36:G40)</f>
        <v>1031840.9474999999</v>
      </c>
    </row>
  </sheetData>
  <mergeCells count="5">
    <mergeCell ref="A3:F3"/>
    <mergeCell ref="A4:F4"/>
    <mergeCell ref="A5:F5"/>
    <mergeCell ref="A6:F6"/>
    <mergeCell ref="B8:C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58" workbookViewId="0">
      <selection activeCell="C75" sqref="C75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1" spans="1:7" x14ac:dyDescent="0.25">
      <c r="A1" s="11" t="s">
        <v>59</v>
      </c>
    </row>
    <row r="3" spans="1:7" s="52" customFormat="1" x14ac:dyDescent="0.25">
      <c r="A3" s="52" t="s">
        <v>44</v>
      </c>
      <c r="E3" s="52">
        <v>65.5</v>
      </c>
      <c r="F3" s="53">
        <f>F10*E3%</f>
        <v>1237030473.5929501</v>
      </c>
      <c r="G3" s="54">
        <v>2211</v>
      </c>
    </row>
    <row r="4" spans="1:7" s="49" customFormat="1" x14ac:dyDescent="0.25">
      <c r="A4" s="49" t="s">
        <v>45</v>
      </c>
      <c r="E4" s="49">
        <v>10.5</v>
      </c>
      <c r="F4" s="50">
        <f>F10*E4%</f>
        <v>198302595.00345001</v>
      </c>
      <c r="G4" s="51">
        <v>2212</v>
      </c>
    </row>
    <row r="5" spans="1:7" s="47" customFormat="1" x14ac:dyDescent="0.25">
      <c r="A5" s="47" t="s">
        <v>46</v>
      </c>
      <c r="E5" s="47">
        <v>3</v>
      </c>
      <c r="F5" s="42">
        <f>F10*E5%</f>
        <v>56657884.286700003</v>
      </c>
      <c r="G5" s="48">
        <v>2247</v>
      </c>
    </row>
    <row r="6" spans="1:7" s="58" customFormat="1" x14ac:dyDescent="0.25">
      <c r="A6" s="58" t="s">
        <v>47</v>
      </c>
      <c r="E6" s="58">
        <v>16.5</v>
      </c>
      <c r="F6" s="59">
        <f>F10*E6%</f>
        <v>311618363.57685006</v>
      </c>
      <c r="G6" s="60">
        <v>2236</v>
      </c>
    </row>
    <row r="7" spans="1:7" s="49" customFormat="1" x14ac:dyDescent="0.25">
      <c r="A7" s="49" t="s">
        <v>48</v>
      </c>
      <c r="E7" s="49">
        <v>2</v>
      </c>
      <c r="F7" s="50">
        <f>F10*E7%</f>
        <v>37771922.857799999</v>
      </c>
      <c r="G7" s="51">
        <v>2212</v>
      </c>
    </row>
    <row r="8" spans="1:7" s="44" customFormat="1" x14ac:dyDescent="0.25">
      <c r="A8" s="44" t="s">
        <v>49</v>
      </c>
      <c r="E8" s="44">
        <v>1</v>
      </c>
      <c r="F8" s="45">
        <f>F10*E8%</f>
        <v>18885961.4289</v>
      </c>
      <c r="G8" s="46">
        <v>2275</v>
      </c>
    </row>
    <row r="9" spans="1:7" s="55" customFormat="1" x14ac:dyDescent="0.25">
      <c r="A9" s="55" t="s">
        <v>50</v>
      </c>
      <c r="E9" s="55">
        <v>1.5</v>
      </c>
      <c r="F9" s="56">
        <f>F10*E9%</f>
        <v>28328942.143350001</v>
      </c>
      <c r="G9" s="57">
        <v>2247</v>
      </c>
    </row>
    <row r="10" spans="1:7" x14ac:dyDescent="0.25">
      <c r="D10" s="11" t="s">
        <v>51</v>
      </c>
      <c r="E10" s="11">
        <v>100</v>
      </c>
      <c r="F10" s="43">
        <v>1888596142.8900001</v>
      </c>
      <c r="G10" s="11" t="s">
        <v>52</v>
      </c>
    </row>
    <row r="11" spans="1:7" x14ac:dyDescent="0.25">
      <c r="D11" s="11" t="s">
        <v>53</v>
      </c>
      <c r="F11" s="43">
        <v>0</v>
      </c>
      <c r="G11" s="11" t="s">
        <v>54</v>
      </c>
    </row>
    <row r="13" spans="1:7" x14ac:dyDescent="0.25">
      <c r="A13" s="11" t="s">
        <v>60</v>
      </c>
    </row>
    <row r="15" spans="1:7" s="52" customFormat="1" x14ac:dyDescent="0.25">
      <c r="A15" s="52" t="s">
        <v>44</v>
      </c>
      <c r="E15" s="52">
        <v>65.5</v>
      </c>
      <c r="F15" s="53">
        <f>F22*E15%</f>
        <v>2568904689.7709002</v>
      </c>
      <c r="G15" s="54">
        <v>2211</v>
      </c>
    </row>
    <row r="16" spans="1:7" s="49" customFormat="1" x14ac:dyDescent="0.25">
      <c r="A16" s="49" t="s">
        <v>45</v>
      </c>
      <c r="E16" s="49">
        <v>10.5</v>
      </c>
      <c r="F16" s="50">
        <f>F22*E16%</f>
        <v>411809148.74190003</v>
      </c>
      <c r="G16" s="51">
        <v>2212</v>
      </c>
    </row>
    <row r="17" spans="1:8" x14ac:dyDescent="0.25">
      <c r="A17" s="47" t="s">
        <v>46</v>
      </c>
      <c r="B17" s="47"/>
      <c r="C17" s="47"/>
      <c r="D17" s="47"/>
      <c r="E17" s="47">
        <v>3</v>
      </c>
      <c r="F17" s="42">
        <f>F22*E17%</f>
        <v>117659756.7834</v>
      </c>
      <c r="G17" s="48">
        <v>2247</v>
      </c>
      <c r="H17" s="47"/>
    </row>
    <row r="18" spans="1:8" s="58" customFormat="1" x14ac:dyDescent="0.25">
      <c r="A18" s="58" t="s">
        <v>47</v>
      </c>
      <c r="E18" s="58">
        <v>16.5</v>
      </c>
      <c r="F18" s="59">
        <f>F22*E18%</f>
        <v>647128662.30870008</v>
      </c>
      <c r="G18" s="60">
        <v>2236</v>
      </c>
    </row>
    <row r="19" spans="1:8" s="49" customFormat="1" x14ac:dyDescent="0.25">
      <c r="A19" s="49" t="s">
        <v>48</v>
      </c>
      <c r="E19" s="49">
        <v>2</v>
      </c>
      <c r="F19" s="50">
        <f>F22*E19%</f>
        <v>78439837.855599999</v>
      </c>
      <c r="G19" s="51">
        <v>2212</v>
      </c>
    </row>
    <row r="20" spans="1:8" x14ac:dyDescent="0.25">
      <c r="A20" s="44" t="s">
        <v>49</v>
      </c>
      <c r="B20" s="44"/>
      <c r="C20" s="44"/>
      <c r="D20" s="44"/>
      <c r="E20" s="44">
        <v>1</v>
      </c>
      <c r="F20" s="45">
        <f>F22*E20%</f>
        <v>39219918.9278</v>
      </c>
      <c r="G20" s="46">
        <v>2275</v>
      </c>
      <c r="H20" s="44"/>
    </row>
    <row r="21" spans="1:8" s="55" customFormat="1" x14ac:dyDescent="0.25">
      <c r="A21" s="55" t="s">
        <v>50</v>
      </c>
      <c r="E21" s="55">
        <v>1.5</v>
      </c>
      <c r="F21" s="56">
        <f>F22*E21%</f>
        <v>58829878.3917</v>
      </c>
      <c r="G21" s="57">
        <v>2247</v>
      </c>
    </row>
    <row r="22" spans="1:8" x14ac:dyDescent="0.25">
      <c r="D22" s="11" t="s">
        <v>51</v>
      </c>
      <c r="E22" s="11">
        <v>100</v>
      </c>
      <c r="F22" s="43">
        <v>3921991892.7800002</v>
      </c>
      <c r="G22" s="11" t="s">
        <v>52</v>
      </c>
    </row>
    <row r="23" spans="1:8" x14ac:dyDescent="0.25">
      <c r="D23" s="11" t="s">
        <v>53</v>
      </c>
      <c r="F23" s="43">
        <v>0</v>
      </c>
      <c r="G23" s="11" t="s">
        <v>54</v>
      </c>
    </row>
    <row r="25" spans="1:8" x14ac:dyDescent="0.25">
      <c r="A25" s="11" t="s">
        <v>61</v>
      </c>
    </row>
    <row r="27" spans="1:8" s="52" customFormat="1" x14ac:dyDescent="0.25">
      <c r="A27" s="52" t="s">
        <v>44</v>
      </c>
      <c r="E27" s="52">
        <v>65.5</v>
      </c>
      <c r="F27" s="53">
        <f>F34*E27%</f>
        <v>3940483609.9931998</v>
      </c>
      <c r="G27" s="54">
        <v>2211</v>
      </c>
    </row>
    <row r="28" spans="1:8" s="49" customFormat="1" x14ac:dyDescent="0.25">
      <c r="A28" s="49" t="s">
        <v>45</v>
      </c>
      <c r="E28" s="49">
        <v>10.5</v>
      </c>
      <c r="F28" s="50">
        <f>F34*E28%</f>
        <v>631680578.70119989</v>
      </c>
      <c r="G28" s="51">
        <v>2212</v>
      </c>
    </row>
    <row r="29" spans="1:8" x14ac:dyDescent="0.25">
      <c r="A29" s="47" t="s">
        <v>46</v>
      </c>
      <c r="B29" s="47"/>
      <c r="C29" s="47"/>
      <c r="D29" s="47"/>
      <c r="E29" s="47">
        <v>3</v>
      </c>
      <c r="F29" s="42">
        <f>F34*E29%</f>
        <v>180480165.34319997</v>
      </c>
      <c r="G29" s="48">
        <v>2247</v>
      </c>
      <c r="H29" s="47"/>
    </row>
    <row r="30" spans="1:8" s="58" customFormat="1" x14ac:dyDescent="0.25">
      <c r="A30" s="58" t="s">
        <v>47</v>
      </c>
      <c r="E30" s="58">
        <v>16.5</v>
      </c>
      <c r="F30" s="59">
        <f>F34*E30%</f>
        <v>992640909.38759995</v>
      </c>
      <c r="G30" s="60">
        <v>2236</v>
      </c>
    </row>
    <row r="31" spans="1:8" s="49" customFormat="1" x14ac:dyDescent="0.25">
      <c r="A31" s="49" t="s">
        <v>48</v>
      </c>
      <c r="E31" s="49">
        <v>2</v>
      </c>
      <c r="F31" s="50">
        <f>F34*E31%</f>
        <v>120320110.2288</v>
      </c>
      <c r="G31" s="51">
        <v>2212</v>
      </c>
    </row>
    <row r="32" spans="1:8" x14ac:dyDescent="0.25">
      <c r="A32" s="44" t="s">
        <v>49</v>
      </c>
      <c r="B32" s="44"/>
      <c r="C32" s="44"/>
      <c r="D32" s="44"/>
      <c r="E32" s="44">
        <v>1</v>
      </c>
      <c r="F32" s="45">
        <f>F34*E32%</f>
        <v>60160055.114399999</v>
      </c>
      <c r="G32" s="46">
        <v>2275</v>
      </c>
      <c r="H32" s="44"/>
    </row>
    <row r="33" spans="1:8" s="55" customFormat="1" x14ac:dyDescent="0.25">
      <c r="A33" s="55" t="s">
        <v>50</v>
      </c>
      <c r="E33" s="55">
        <v>1.5</v>
      </c>
      <c r="F33" s="56">
        <f>F34*E33%</f>
        <v>90240082.671599984</v>
      </c>
      <c r="G33" s="57">
        <v>2247</v>
      </c>
    </row>
    <row r="34" spans="1:8" x14ac:dyDescent="0.25">
      <c r="D34" s="11" t="s">
        <v>51</v>
      </c>
      <c r="E34" s="11">
        <v>100</v>
      </c>
      <c r="F34" s="43">
        <v>6016005511.4399996</v>
      </c>
      <c r="G34" s="11" t="s">
        <v>52</v>
      </c>
    </row>
    <row r="35" spans="1:8" x14ac:dyDescent="0.25">
      <c r="D35" s="11" t="s">
        <v>53</v>
      </c>
      <c r="F35" s="43">
        <v>0</v>
      </c>
      <c r="G35" s="11" t="s">
        <v>54</v>
      </c>
    </row>
    <row r="37" spans="1:8" x14ac:dyDescent="0.25">
      <c r="A37" s="11" t="s">
        <v>64</v>
      </c>
    </row>
    <row r="39" spans="1:8" s="52" customFormat="1" x14ac:dyDescent="0.25">
      <c r="A39" s="52" t="s">
        <v>44</v>
      </c>
      <c r="E39" s="52">
        <v>65.5</v>
      </c>
      <c r="F39" s="53">
        <f>F46*E39%</f>
        <v>55139.845350000003</v>
      </c>
      <c r="G39" s="54">
        <v>2211</v>
      </c>
    </row>
    <row r="40" spans="1:8" s="49" customFormat="1" x14ac:dyDescent="0.25">
      <c r="A40" s="49" t="s">
        <v>45</v>
      </c>
      <c r="E40" s="49">
        <v>10.5</v>
      </c>
      <c r="F40" s="50">
        <f>F46*E40%</f>
        <v>8839.2118499999997</v>
      </c>
      <c r="G40" s="51">
        <v>2212</v>
      </c>
    </row>
    <row r="41" spans="1:8" x14ac:dyDescent="0.25">
      <c r="A41" s="47" t="s">
        <v>46</v>
      </c>
      <c r="B41" s="47"/>
      <c r="C41" s="47"/>
      <c r="D41" s="47"/>
      <c r="E41" s="47">
        <v>3</v>
      </c>
      <c r="F41" s="42">
        <f>F46*E41%</f>
        <v>2525.4890999999998</v>
      </c>
      <c r="G41" s="48">
        <v>2247</v>
      </c>
      <c r="H41" s="47"/>
    </row>
    <row r="42" spans="1:8" s="58" customFormat="1" x14ac:dyDescent="0.25">
      <c r="A42" s="58" t="s">
        <v>47</v>
      </c>
      <c r="E42" s="58">
        <v>16.5</v>
      </c>
      <c r="F42" s="59">
        <f>F46*E42%</f>
        <v>13890.190050000001</v>
      </c>
      <c r="G42" s="60">
        <v>2236</v>
      </c>
    </row>
    <row r="43" spans="1:8" s="49" customFormat="1" x14ac:dyDescent="0.25">
      <c r="A43" s="49" t="s">
        <v>48</v>
      </c>
      <c r="E43" s="49">
        <v>2</v>
      </c>
      <c r="F43" s="50">
        <f>F46*E43%</f>
        <v>1683.6594</v>
      </c>
      <c r="G43" s="51">
        <v>2212</v>
      </c>
    </row>
    <row r="44" spans="1:8" x14ac:dyDescent="0.25">
      <c r="A44" s="44" t="s">
        <v>49</v>
      </c>
      <c r="B44" s="44"/>
      <c r="C44" s="44"/>
      <c r="D44" s="44"/>
      <c r="E44" s="44">
        <v>1</v>
      </c>
      <c r="F44" s="45">
        <f>F46*E44%</f>
        <v>841.8297</v>
      </c>
      <c r="G44" s="46">
        <v>2275</v>
      </c>
      <c r="H44" s="44"/>
    </row>
    <row r="45" spans="1:8" s="55" customFormat="1" x14ac:dyDescent="0.25">
      <c r="A45" s="55" t="s">
        <v>50</v>
      </c>
      <c r="E45" s="55">
        <v>1.5</v>
      </c>
      <c r="F45" s="56">
        <f>F46*E45%</f>
        <v>1262.7445499999999</v>
      </c>
      <c r="G45" s="57">
        <v>2247</v>
      </c>
    </row>
    <row r="46" spans="1:8" x14ac:dyDescent="0.25">
      <c r="D46" s="11" t="s">
        <v>51</v>
      </c>
      <c r="E46" s="11">
        <v>100</v>
      </c>
      <c r="F46" s="43">
        <v>84182.97</v>
      </c>
      <c r="G46" s="11" t="s">
        <v>52</v>
      </c>
    </row>
    <row r="47" spans="1:8" x14ac:dyDescent="0.25">
      <c r="D47" s="11" t="s">
        <v>53</v>
      </c>
      <c r="F47" s="43">
        <v>0</v>
      </c>
      <c r="G47" s="11" t="s">
        <v>54</v>
      </c>
    </row>
    <row r="49" spans="1:8" x14ac:dyDescent="0.25">
      <c r="A49" s="11" t="s">
        <v>65</v>
      </c>
    </row>
    <row r="51" spans="1:8" s="52" customFormat="1" x14ac:dyDescent="0.25">
      <c r="A51" s="52" t="s">
        <v>44</v>
      </c>
      <c r="E51" s="52">
        <v>65.5</v>
      </c>
      <c r="F51" s="53">
        <f>F58*E51%</f>
        <v>115289.82500000001</v>
      </c>
      <c r="G51" s="54">
        <v>2211</v>
      </c>
    </row>
    <row r="52" spans="1:8" s="49" customFormat="1" x14ac:dyDescent="0.25">
      <c r="A52" s="49" t="s">
        <v>45</v>
      </c>
      <c r="E52" s="49">
        <v>10.5</v>
      </c>
      <c r="F52" s="50">
        <f>F58*E52%</f>
        <v>18481.575000000001</v>
      </c>
      <c r="G52" s="51">
        <v>2212</v>
      </c>
    </row>
    <row r="53" spans="1:8" x14ac:dyDescent="0.25">
      <c r="A53" s="47" t="s">
        <v>46</v>
      </c>
      <c r="B53" s="47"/>
      <c r="C53" s="47"/>
      <c r="D53" s="47"/>
      <c r="E53" s="47">
        <v>3</v>
      </c>
      <c r="F53" s="42">
        <f>F58*E53%</f>
        <v>5280.45</v>
      </c>
      <c r="G53" s="48">
        <v>2247</v>
      </c>
      <c r="H53" s="47"/>
    </row>
    <row r="54" spans="1:8" s="58" customFormat="1" x14ac:dyDescent="0.25">
      <c r="A54" s="58" t="s">
        <v>47</v>
      </c>
      <c r="E54" s="58">
        <v>16.5</v>
      </c>
      <c r="F54" s="59">
        <f>F58*E54%</f>
        <v>29042.475000000002</v>
      </c>
      <c r="G54" s="60">
        <v>2236</v>
      </c>
    </row>
    <row r="55" spans="1:8" s="49" customFormat="1" x14ac:dyDescent="0.25">
      <c r="A55" s="49" t="s">
        <v>48</v>
      </c>
      <c r="E55" s="49">
        <v>2</v>
      </c>
      <c r="F55" s="50">
        <f>F58*E55%</f>
        <v>3520.3</v>
      </c>
      <c r="G55" s="51">
        <v>2212</v>
      </c>
    </row>
    <row r="56" spans="1:8" x14ac:dyDescent="0.25">
      <c r="A56" s="44" t="s">
        <v>49</v>
      </c>
      <c r="B56" s="44"/>
      <c r="C56" s="44"/>
      <c r="D56" s="44"/>
      <c r="E56" s="44">
        <v>1</v>
      </c>
      <c r="F56" s="45">
        <f>F58*E56%</f>
        <v>1760.15</v>
      </c>
      <c r="G56" s="46">
        <v>2275</v>
      </c>
      <c r="H56" s="44"/>
    </row>
    <row r="57" spans="1:8" s="55" customFormat="1" x14ac:dyDescent="0.25">
      <c r="A57" s="55" t="s">
        <v>50</v>
      </c>
      <c r="E57" s="55">
        <v>1.5</v>
      </c>
      <c r="F57" s="56">
        <f>F58*E57%</f>
        <v>2640.2249999999999</v>
      </c>
      <c r="G57" s="57">
        <v>2247</v>
      </c>
    </row>
    <row r="58" spans="1:8" x14ac:dyDescent="0.25">
      <c r="D58" s="11" t="s">
        <v>51</v>
      </c>
      <c r="E58" s="11">
        <v>100</v>
      </c>
      <c r="F58" s="43">
        <v>176015</v>
      </c>
      <c r="G58" s="11" t="s">
        <v>52</v>
      </c>
    </row>
    <row r="59" spans="1:8" x14ac:dyDescent="0.25">
      <c r="D59" s="11" t="s">
        <v>53</v>
      </c>
      <c r="F59" s="43">
        <v>0</v>
      </c>
      <c r="G59" s="11" t="s">
        <v>54</v>
      </c>
    </row>
    <row r="61" spans="1:8" x14ac:dyDescent="0.25">
      <c r="A61" s="11" t="s">
        <v>66</v>
      </c>
    </row>
    <row r="63" spans="1:8" s="52" customFormat="1" x14ac:dyDescent="0.25">
      <c r="A63" s="52" t="s">
        <v>44</v>
      </c>
      <c r="E63" s="52">
        <v>65.5</v>
      </c>
      <c r="F63" s="53">
        <f>F70*E63%</f>
        <v>239179.9179</v>
      </c>
      <c r="G63" s="54">
        <v>2211</v>
      </c>
    </row>
    <row r="64" spans="1:8" s="49" customFormat="1" x14ac:dyDescent="0.25">
      <c r="A64" s="49" t="s">
        <v>45</v>
      </c>
      <c r="E64" s="49">
        <v>10.5</v>
      </c>
      <c r="F64" s="50">
        <f>F70*E64%</f>
        <v>38341.818899999998</v>
      </c>
      <c r="G64" s="51">
        <v>2212</v>
      </c>
    </row>
    <row r="65" spans="1:8" x14ac:dyDescent="0.25">
      <c r="A65" s="47" t="s">
        <v>46</v>
      </c>
      <c r="B65" s="47"/>
      <c r="C65" s="47"/>
      <c r="D65" s="47"/>
      <c r="E65" s="47">
        <v>3</v>
      </c>
      <c r="F65" s="42">
        <f>F70*E65%</f>
        <v>10954.805399999999</v>
      </c>
      <c r="G65" s="48">
        <v>2247</v>
      </c>
      <c r="H65" s="47"/>
    </row>
    <row r="66" spans="1:8" s="58" customFormat="1" x14ac:dyDescent="0.25">
      <c r="A66" s="58" t="s">
        <v>47</v>
      </c>
      <c r="E66" s="58">
        <v>16.5</v>
      </c>
      <c r="F66" s="59">
        <f>F70*E66%</f>
        <v>60251.429700000001</v>
      </c>
      <c r="G66" s="60">
        <v>2236</v>
      </c>
    </row>
    <row r="67" spans="1:8" s="49" customFormat="1" x14ac:dyDescent="0.25">
      <c r="A67" s="49" t="s">
        <v>48</v>
      </c>
      <c r="E67" s="49">
        <v>2</v>
      </c>
      <c r="F67" s="50">
        <f>F70*E67%</f>
        <v>7303.2035999999998</v>
      </c>
      <c r="G67" s="51">
        <v>2212</v>
      </c>
    </row>
    <row r="68" spans="1:8" x14ac:dyDescent="0.25">
      <c r="A68" s="44" t="s">
        <v>49</v>
      </c>
      <c r="B68" s="44"/>
      <c r="C68" s="44"/>
      <c r="D68" s="44"/>
      <c r="E68" s="44">
        <v>1</v>
      </c>
      <c r="F68" s="45">
        <f>F70*E68%</f>
        <v>3651.6017999999999</v>
      </c>
      <c r="G68" s="46">
        <v>2275</v>
      </c>
      <c r="H68" s="44"/>
    </row>
    <row r="69" spans="1:8" s="55" customFormat="1" x14ac:dyDescent="0.25">
      <c r="A69" s="55" t="s">
        <v>50</v>
      </c>
      <c r="E69" s="55">
        <v>1.5</v>
      </c>
      <c r="F69" s="56">
        <f>F70*E69%</f>
        <v>5477.4026999999996</v>
      </c>
      <c r="G69" s="57">
        <v>2247</v>
      </c>
    </row>
    <row r="70" spans="1:8" x14ac:dyDescent="0.25">
      <c r="D70" s="11" t="s">
        <v>51</v>
      </c>
      <c r="E70" s="11">
        <v>100</v>
      </c>
      <c r="F70" s="43">
        <f>62020.54+92230.27+101170.47+109738.9</f>
        <v>365160.18</v>
      </c>
      <c r="G70" s="11" t="s">
        <v>52</v>
      </c>
    </row>
    <row r="71" spans="1:8" x14ac:dyDescent="0.25">
      <c r="D71" s="11" t="s">
        <v>53</v>
      </c>
      <c r="F71" s="43">
        <v>0</v>
      </c>
      <c r="G71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1"/>
  <sheetViews>
    <sheetView workbookViewId="0">
      <selection activeCell="F19" sqref="F19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3" spans="1:14" ht="15.75" x14ac:dyDescent="0.25">
      <c r="A3" s="104" t="s">
        <v>18</v>
      </c>
      <c r="B3" s="104"/>
      <c r="C3" s="104"/>
      <c r="D3" s="104"/>
      <c r="E3" s="104"/>
      <c r="F3" s="104"/>
      <c r="G3" s="15"/>
      <c r="H3" s="15"/>
      <c r="I3" s="15"/>
      <c r="J3" s="15"/>
      <c r="K3" s="15"/>
      <c r="L3" s="15"/>
      <c r="M3" s="15"/>
      <c r="N3" s="15"/>
    </row>
    <row r="4" spans="1:14" ht="15.75" x14ac:dyDescent="0.25">
      <c r="A4" s="104" t="s">
        <v>19</v>
      </c>
      <c r="B4" s="104"/>
      <c r="C4" s="104"/>
      <c r="D4" s="104"/>
      <c r="E4" s="104"/>
      <c r="F4" s="104"/>
      <c r="G4" s="15"/>
      <c r="H4" s="15"/>
      <c r="I4" s="15"/>
      <c r="J4" s="15"/>
      <c r="K4" s="15"/>
      <c r="L4" s="15"/>
      <c r="M4" s="15"/>
      <c r="N4" s="15"/>
    </row>
    <row r="5" spans="1:14" ht="15.75" x14ac:dyDescent="0.25">
      <c r="A5" s="104" t="s">
        <v>12</v>
      </c>
      <c r="B5" s="104"/>
      <c r="C5" s="104"/>
      <c r="D5" s="104"/>
      <c r="E5" s="104"/>
      <c r="F5" s="104"/>
      <c r="G5" s="15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62</v>
      </c>
      <c r="B6" s="104"/>
      <c r="C6" s="104"/>
      <c r="D6" s="104"/>
      <c r="E6" s="104"/>
      <c r="F6" s="104"/>
      <c r="G6" s="15"/>
      <c r="H6" s="15"/>
      <c r="I6" s="15"/>
      <c r="J6" s="15"/>
      <c r="K6" s="15"/>
      <c r="L6" s="15"/>
      <c r="M6" s="15"/>
      <c r="N6" s="15"/>
    </row>
    <row r="7" spans="1:14" ht="15.75" x14ac:dyDescent="0.25">
      <c r="A7" s="61"/>
      <c r="B7" s="61"/>
      <c r="C7" s="61"/>
      <c r="D7" s="61"/>
      <c r="E7" s="61"/>
      <c r="F7" s="61"/>
      <c r="G7" s="15"/>
      <c r="H7" s="15"/>
      <c r="I7" s="15"/>
      <c r="J7" s="15"/>
      <c r="K7" s="15"/>
      <c r="L7" s="15"/>
      <c r="M7" s="15"/>
      <c r="N7" s="15"/>
    </row>
    <row r="8" spans="1:14" ht="15.75" x14ac:dyDescent="0.25">
      <c r="A8" s="61" t="s">
        <v>13</v>
      </c>
      <c r="B8" s="104" t="s">
        <v>14</v>
      </c>
      <c r="C8" s="104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 s="11" customFormat="1" x14ac:dyDescent="0.25">
      <c r="A9" s="10">
        <v>2211</v>
      </c>
      <c r="B9" s="22" t="s">
        <v>17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9">
        <v>2212</v>
      </c>
      <c r="B10" s="3" t="s">
        <v>20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9">
        <v>2236</v>
      </c>
      <c r="B11" s="3" t="s">
        <v>21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9">
        <v>2247</v>
      </c>
      <c r="B12" s="3" t="s">
        <v>22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2275</v>
      </c>
      <c r="B13" s="3" t="s">
        <v>23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1"/>
      <c r="B14" s="9">
        <v>0.9</v>
      </c>
      <c r="C14" s="9">
        <v>2</v>
      </c>
      <c r="D14" s="9">
        <v>1</v>
      </c>
      <c r="E14" s="9">
        <v>0.9</v>
      </c>
      <c r="F14" s="9">
        <v>2</v>
      </c>
      <c r="G14" s="1"/>
      <c r="H14" s="1"/>
      <c r="I14" s="1"/>
      <c r="J14" s="1"/>
      <c r="K14" s="1"/>
      <c r="L14" s="1"/>
      <c r="M14" s="1"/>
    </row>
    <row r="15" spans="1:14" ht="15.75" x14ac:dyDescent="0.25">
      <c r="A15" s="2" t="s">
        <v>15</v>
      </c>
      <c r="B15" s="2">
        <v>2211</v>
      </c>
      <c r="C15" s="2">
        <v>2212</v>
      </c>
      <c r="D15" s="2">
        <v>2236</v>
      </c>
      <c r="E15" s="2">
        <v>2247</v>
      </c>
      <c r="F15" s="2">
        <v>2275</v>
      </c>
      <c r="G15" s="2" t="s">
        <v>25</v>
      </c>
      <c r="H15" s="12"/>
      <c r="I15" s="12"/>
      <c r="J15" s="12"/>
      <c r="K15" s="12"/>
      <c r="L15" s="12"/>
      <c r="M15" s="12"/>
      <c r="N15" s="12"/>
    </row>
    <row r="16" spans="1:14" x14ac:dyDescent="0.25">
      <c r="A16" s="4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f>+B16+C16+D16+E16+F16</f>
        <v>0</v>
      </c>
      <c r="H16" s="13"/>
      <c r="I16" s="13"/>
      <c r="J16" s="13"/>
      <c r="K16" s="13"/>
      <c r="L16" s="13"/>
      <c r="M16" s="13"/>
      <c r="N16" s="14"/>
    </row>
    <row r="17" spans="1:13" x14ac:dyDescent="0.25">
      <c r="A17" s="16" t="s">
        <v>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ref="G17:G27" si="0">+B17+C17+D17+E17+F17</f>
        <v>0</v>
      </c>
      <c r="H17" s="1"/>
      <c r="I17" s="1"/>
      <c r="J17" s="1"/>
      <c r="K17" s="1"/>
      <c r="L17" s="1"/>
      <c r="M17" s="1"/>
    </row>
    <row r="18" spans="1:13" x14ac:dyDescent="0.25">
      <c r="A18" s="16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f t="shared" si="0"/>
        <v>0</v>
      </c>
      <c r="H18" s="1"/>
      <c r="I18" s="1"/>
      <c r="J18" s="1"/>
      <c r="K18" s="1"/>
      <c r="L18" s="1"/>
      <c r="M18" s="1"/>
    </row>
    <row r="19" spans="1:13" x14ac:dyDescent="0.25">
      <c r="A19" s="17" t="s">
        <v>3</v>
      </c>
      <c r="B19" s="5">
        <f>'02-2018'!F3</f>
        <v>1237030473.5929501</v>
      </c>
      <c r="C19" s="5">
        <f>'02-2018'!F4+'02-2018'!F7</f>
        <v>236074517.86125001</v>
      </c>
      <c r="D19" s="5">
        <f>'02-2018'!F6</f>
        <v>311618363.57685006</v>
      </c>
      <c r="E19" s="5">
        <f>'02-2018'!F5+'02-2018'!F9</f>
        <v>84986826.430050001</v>
      </c>
      <c r="F19" s="5">
        <f>'02-2018'!F8</f>
        <v>18885961.4289</v>
      </c>
      <c r="G19" s="5">
        <f t="shared" si="0"/>
        <v>1888596142.8900001</v>
      </c>
    </row>
    <row r="20" spans="1:13" x14ac:dyDescent="0.25">
      <c r="A20" s="17" t="s">
        <v>4</v>
      </c>
      <c r="B20" s="5">
        <f>'02-2018'!F15</f>
        <v>2568904689.7709002</v>
      </c>
      <c r="C20" s="5">
        <f>'02-2018'!F16+'02-2018'!F19</f>
        <v>490248986.59750003</v>
      </c>
      <c r="D20" s="5">
        <f>'02-2018'!F18</f>
        <v>647128662.30870008</v>
      </c>
      <c r="E20" s="5">
        <f>'02-2018'!F17+'02-2018'!F21</f>
        <v>176489635.1751</v>
      </c>
      <c r="F20" s="5">
        <f>'02-2018'!F20</f>
        <v>39219918.9278</v>
      </c>
      <c r="G20" s="5">
        <f t="shared" si="0"/>
        <v>3921991892.7800002</v>
      </c>
      <c r="H20" s="20"/>
    </row>
    <row r="21" spans="1:13" x14ac:dyDescent="0.25">
      <c r="A21" s="17" t="s">
        <v>5</v>
      </c>
      <c r="B21" s="5">
        <f>'02-2018'!F27</f>
        <v>3940483609.9931998</v>
      </c>
      <c r="C21" s="5">
        <f>'02-2018'!F28+'02-2018'!F31</f>
        <v>752000688.92999983</v>
      </c>
      <c r="D21" s="5">
        <f>'02-2018'!F30</f>
        <v>992640909.38759995</v>
      </c>
      <c r="E21" s="5">
        <f>'02-2018'!F29+'02-2018'!F33</f>
        <v>270720248.01479995</v>
      </c>
      <c r="F21" s="5">
        <f>'02-2018'!F32</f>
        <v>60160055.114399999</v>
      </c>
      <c r="G21" s="5">
        <f t="shared" si="0"/>
        <v>6016005511.4399996</v>
      </c>
    </row>
    <row r="22" spans="1:13" x14ac:dyDescent="0.25">
      <c r="A22" s="17" t="s">
        <v>6</v>
      </c>
      <c r="B22" s="5"/>
      <c r="C22" s="5"/>
      <c r="D22" s="5"/>
      <c r="E22" s="5"/>
      <c r="F22" s="5"/>
      <c r="G22" s="5">
        <f t="shared" si="0"/>
        <v>0</v>
      </c>
    </row>
    <row r="23" spans="1:13" x14ac:dyDescent="0.25">
      <c r="A23" s="17" t="s">
        <v>7</v>
      </c>
      <c r="B23" s="5"/>
      <c r="C23" s="5"/>
      <c r="D23" s="5"/>
      <c r="E23" s="5"/>
      <c r="F23" s="5"/>
      <c r="G23" s="5">
        <f t="shared" si="0"/>
        <v>0</v>
      </c>
    </row>
    <row r="24" spans="1:13" x14ac:dyDescent="0.25">
      <c r="A24" s="17" t="s">
        <v>8</v>
      </c>
      <c r="B24" s="5"/>
      <c r="C24" s="5"/>
      <c r="D24" s="5"/>
      <c r="E24" s="5"/>
      <c r="F24" s="5"/>
      <c r="G24" s="5">
        <f t="shared" si="0"/>
        <v>0</v>
      </c>
    </row>
    <row r="25" spans="1:13" x14ac:dyDescent="0.25">
      <c r="A25" s="17" t="s">
        <v>11</v>
      </c>
      <c r="B25" s="5"/>
      <c r="C25" s="5"/>
      <c r="D25" s="5"/>
      <c r="E25" s="5"/>
      <c r="F25" s="5"/>
      <c r="G25" s="5">
        <f t="shared" si="0"/>
        <v>0</v>
      </c>
    </row>
    <row r="26" spans="1:13" x14ac:dyDescent="0.25">
      <c r="A26" s="17" t="s">
        <v>9</v>
      </c>
      <c r="B26" s="5"/>
      <c r="C26" s="5"/>
      <c r="D26" s="5"/>
      <c r="E26" s="5"/>
      <c r="F26" s="5"/>
      <c r="G26" s="5">
        <f t="shared" si="0"/>
        <v>0</v>
      </c>
    </row>
    <row r="27" spans="1:13" x14ac:dyDescent="0.25">
      <c r="A27" s="17" t="s">
        <v>10</v>
      </c>
      <c r="B27" s="5"/>
      <c r="C27" s="5"/>
      <c r="D27" s="5"/>
      <c r="E27" s="5"/>
      <c r="F27" s="5"/>
      <c r="G27" s="5">
        <f t="shared" si="0"/>
        <v>0</v>
      </c>
    </row>
    <row r="28" spans="1:13" x14ac:dyDescent="0.25">
      <c r="A28" s="39" t="s">
        <v>24</v>
      </c>
      <c r="B28" s="40">
        <f>SUM(B16:B27)</f>
        <v>7746418773.3570499</v>
      </c>
      <c r="C28" s="40">
        <f t="shared" ref="C28:E28" si="1">SUM(C16:C27)</f>
        <v>1478324193.3887498</v>
      </c>
      <c r="D28" s="40">
        <f t="shared" si="1"/>
        <v>1951387935.27315</v>
      </c>
      <c r="E28" s="40">
        <f t="shared" si="1"/>
        <v>532196709.61994994</v>
      </c>
      <c r="F28" s="40">
        <f>SUM(F16:F27)</f>
        <v>118265935.4711</v>
      </c>
      <c r="G28" s="41">
        <f>SUM(G16:G27)</f>
        <v>11826593547.110001</v>
      </c>
    </row>
    <row r="29" spans="1:13" x14ac:dyDescent="0.25">
      <c r="F29" s="25"/>
    </row>
    <row r="35" spans="1:14" x14ac:dyDescent="0.25">
      <c r="F35" s="25" t="s">
        <v>26</v>
      </c>
    </row>
    <row r="36" spans="1:14" x14ac:dyDescent="0.25">
      <c r="A36" s="10">
        <v>2211</v>
      </c>
      <c r="B36" s="22" t="s">
        <v>17</v>
      </c>
      <c r="C36" s="22"/>
      <c r="D36" s="22"/>
      <c r="E36" s="23">
        <f>B28</f>
        <v>7746418773.3570499</v>
      </c>
      <c r="F36" s="10">
        <v>1.65</v>
      </c>
      <c r="G36" s="23">
        <f>E36*F36</f>
        <v>12781590976.039131</v>
      </c>
      <c r="I36" s="22"/>
      <c r="J36" s="22"/>
      <c r="K36" s="22"/>
      <c r="L36" s="22"/>
      <c r="M36" s="22"/>
      <c r="N36" s="22"/>
    </row>
    <row r="37" spans="1:14" x14ac:dyDescent="0.25">
      <c r="A37" s="9">
        <v>2212</v>
      </c>
      <c r="B37" s="3" t="s">
        <v>20</v>
      </c>
      <c r="C37" s="3"/>
      <c r="D37" s="3"/>
      <c r="E37" s="24">
        <f>C28</f>
        <v>1478324193.3887498</v>
      </c>
      <c r="F37" s="9">
        <v>1.65</v>
      </c>
      <c r="G37" s="24">
        <f>E37*F37</f>
        <v>2439234919.0914369</v>
      </c>
      <c r="I37" s="3"/>
      <c r="J37" s="3"/>
      <c r="K37" s="3"/>
      <c r="L37" s="3"/>
      <c r="M37" s="3"/>
      <c r="N37" s="3"/>
    </row>
    <row r="38" spans="1:14" x14ac:dyDescent="0.25">
      <c r="A38" s="9">
        <v>2236</v>
      </c>
      <c r="B38" s="3" t="s">
        <v>21</v>
      </c>
      <c r="C38" s="3"/>
      <c r="D38" s="3"/>
      <c r="E38" s="24">
        <f>D28</f>
        <v>1951387935.27315</v>
      </c>
      <c r="F38" s="9">
        <v>1.65</v>
      </c>
      <c r="G38" s="24">
        <f>E38*F38</f>
        <v>3219790093.2006974</v>
      </c>
      <c r="I38" s="3"/>
      <c r="J38" s="3"/>
      <c r="K38" s="3"/>
      <c r="L38" s="3"/>
      <c r="M38" s="3"/>
      <c r="N38" s="3"/>
    </row>
    <row r="39" spans="1:14" x14ac:dyDescent="0.25">
      <c r="A39" s="9">
        <v>2247</v>
      </c>
      <c r="B39" s="3" t="s">
        <v>22</v>
      </c>
      <c r="C39" s="3"/>
      <c r="D39" s="3"/>
      <c r="E39" s="24">
        <f>E28</f>
        <v>532196709.61994994</v>
      </c>
      <c r="F39" s="9">
        <v>1.65</v>
      </c>
      <c r="G39" s="24">
        <f>E39*F39</f>
        <v>878124570.87291729</v>
      </c>
      <c r="I39" s="3"/>
      <c r="J39" s="3"/>
      <c r="K39" s="3"/>
      <c r="L39" s="3"/>
      <c r="M39" s="3"/>
      <c r="N39" s="3"/>
    </row>
    <row r="40" spans="1:14" x14ac:dyDescent="0.25">
      <c r="A40" s="9">
        <v>2275</v>
      </c>
      <c r="B40" s="3" t="s">
        <v>23</v>
      </c>
      <c r="C40" s="3"/>
      <c r="D40" s="3"/>
      <c r="E40" s="24">
        <f>F28</f>
        <v>118265935.4711</v>
      </c>
      <c r="F40" s="9">
        <v>1.65</v>
      </c>
      <c r="G40" s="33">
        <f>E40*F40</f>
        <v>195138793.52731499</v>
      </c>
      <c r="I40" s="3"/>
      <c r="J40" s="3"/>
      <c r="K40" s="3"/>
      <c r="L40" s="3"/>
      <c r="M40" s="3"/>
      <c r="N40" s="3"/>
    </row>
    <row r="41" spans="1:14" x14ac:dyDescent="0.25">
      <c r="G41" s="42">
        <f>SUM(G36:G40)</f>
        <v>19513879352.731495</v>
      </c>
    </row>
  </sheetData>
  <mergeCells count="5">
    <mergeCell ref="A3:F3"/>
    <mergeCell ref="A4:F4"/>
    <mergeCell ref="A5:F5"/>
    <mergeCell ref="A6:F6"/>
    <mergeCell ref="B8:C8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16" workbookViewId="0">
      <selection activeCell="F39" sqref="F39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1" spans="1:7" x14ac:dyDescent="0.25">
      <c r="A1" s="11" t="s">
        <v>59</v>
      </c>
    </row>
    <row r="3" spans="1:7" s="52" customFormat="1" x14ac:dyDescent="0.25">
      <c r="A3" s="52" t="s">
        <v>44</v>
      </c>
      <c r="E3" s="52">
        <v>65.5</v>
      </c>
      <c r="F3" s="53">
        <f>F10*E3%</f>
        <v>1237030473.5929501</v>
      </c>
      <c r="G3" s="54">
        <v>2211</v>
      </c>
    </row>
    <row r="4" spans="1:7" s="49" customFormat="1" x14ac:dyDescent="0.25">
      <c r="A4" s="49" t="s">
        <v>45</v>
      </c>
      <c r="E4" s="49">
        <v>10.5</v>
      </c>
      <c r="F4" s="50">
        <f>F10*E4%</f>
        <v>198302595.00345001</v>
      </c>
      <c r="G4" s="51">
        <v>2212</v>
      </c>
    </row>
    <row r="5" spans="1:7" s="47" customFormat="1" x14ac:dyDescent="0.25">
      <c r="A5" s="47" t="s">
        <v>46</v>
      </c>
      <c r="E5" s="47">
        <v>3</v>
      </c>
      <c r="F5" s="42">
        <f>F10*E5%</f>
        <v>56657884.286700003</v>
      </c>
      <c r="G5" s="48">
        <v>2247</v>
      </c>
    </row>
    <row r="6" spans="1:7" s="58" customFormat="1" x14ac:dyDescent="0.25">
      <c r="A6" s="58" t="s">
        <v>47</v>
      </c>
      <c r="E6" s="58">
        <v>16.5</v>
      </c>
      <c r="F6" s="59">
        <f>F10*E6%</f>
        <v>311618363.57685006</v>
      </c>
      <c r="G6" s="60">
        <v>2236</v>
      </c>
    </row>
    <row r="7" spans="1:7" s="49" customFormat="1" x14ac:dyDescent="0.25">
      <c r="A7" s="49" t="s">
        <v>48</v>
      </c>
      <c r="E7" s="49">
        <v>2</v>
      </c>
      <c r="F7" s="50">
        <f>F10*E7%</f>
        <v>37771922.857799999</v>
      </c>
      <c r="G7" s="51">
        <v>2212</v>
      </c>
    </row>
    <row r="8" spans="1:7" s="44" customFormat="1" x14ac:dyDescent="0.25">
      <c r="A8" s="44" t="s">
        <v>49</v>
      </c>
      <c r="E8" s="44">
        <v>1</v>
      </c>
      <c r="F8" s="45">
        <f>F10*E8%</f>
        <v>18885961.4289</v>
      </c>
      <c r="G8" s="46">
        <v>2275</v>
      </c>
    </row>
    <row r="9" spans="1:7" s="55" customFormat="1" x14ac:dyDescent="0.25">
      <c r="A9" s="55" t="s">
        <v>50</v>
      </c>
      <c r="E9" s="55">
        <v>1.5</v>
      </c>
      <c r="F9" s="56">
        <f>F10*E9%</f>
        <v>28328942.143350001</v>
      </c>
      <c r="G9" s="57">
        <v>2247</v>
      </c>
    </row>
    <row r="10" spans="1:7" x14ac:dyDescent="0.25">
      <c r="D10" s="11" t="s">
        <v>51</v>
      </c>
      <c r="E10" s="11">
        <v>100</v>
      </c>
      <c r="F10" s="43">
        <v>1888596142.8900001</v>
      </c>
      <c r="G10" s="11" t="s">
        <v>52</v>
      </c>
    </row>
    <row r="11" spans="1:7" x14ac:dyDescent="0.25">
      <c r="D11" s="11" t="s">
        <v>53</v>
      </c>
      <c r="F11" s="43">
        <v>0</v>
      </c>
      <c r="G11" s="11" t="s">
        <v>54</v>
      </c>
    </row>
    <row r="13" spans="1:7" x14ac:dyDescent="0.25">
      <c r="A13" s="11" t="s">
        <v>60</v>
      </c>
    </row>
    <row r="15" spans="1:7" s="52" customFormat="1" x14ac:dyDescent="0.25">
      <c r="A15" s="52" t="s">
        <v>44</v>
      </c>
      <c r="E15" s="52">
        <v>65.5</v>
      </c>
      <c r="F15" s="53">
        <f>F22*E15%</f>
        <v>2568904689.7709002</v>
      </c>
      <c r="G15" s="54">
        <v>2211</v>
      </c>
    </row>
    <row r="16" spans="1:7" s="49" customFormat="1" x14ac:dyDescent="0.25">
      <c r="A16" s="49" t="s">
        <v>45</v>
      </c>
      <c r="E16" s="49">
        <v>10.5</v>
      </c>
      <c r="F16" s="50">
        <f>F22*E16%</f>
        <v>411809148.74190003</v>
      </c>
      <c r="G16" s="51">
        <v>2212</v>
      </c>
    </row>
    <row r="17" spans="1:8" x14ac:dyDescent="0.25">
      <c r="A17" s="47" t="s">
        <v>46</v>
      </c>
      <c r="B17" s="47"/>
      <c r="C17" s="47"/>
      <c r="D17" s="47"/>
      <c r="E17" s="47">
        <v>3</v>
      </c>
      <c r="F17" s="42">
        <f>F22*E17%</f>
        <v>117659756.7834</v>
      </c>
      <c r="G17" s="48">
        <v>2247</v>
      </c>
      <c r="H17" s="47"/>
    </row>
    <row r="18" spans="1:8" s="58" customFormat="1" x14ac:dyDescent="0.25">
      <c r="A18" s="58" t="s">
        <v>47</v>
      </c>
      <c r="E18" s="58">
        <v>16.5</v>
      </c>
      <c r="F18" s="59">
        <f>F22*E18%</f>
        <v>647128662.30870008</v>
      </c>
      <c r="G18" s="60">
        <v>2236</v>
      </c>
    </row>
    <row r="19" spans="1:8" s="49" customFormat="1" x14ac:dyDescent="0.25">
      <c r="A19" s="49" t="s">
        <v>48</v>
      </c>
      <c r="E19" s="49">
        <v>2</v>
      </c>
      <c r="F19" s="50">
        <f>F22*E19%</f>
        <v>78439837.855599999</v>
      </c>
      <c r="G19" s="51">
        <v>2212</v>
      </c>
    </row>
    <row r="20" spans="1:8" x14ac:dyDescent="0.25">
      <c r="A20" s="44" t="s">
        <v>49</v>
      </c>
      <c r="B20" s="44"/>
      <c r="C20" s="44"/>
      <c r="D20" s="44"/>
      <c r="E20" s="44">
        <v>1</v>
      </c>
      <c r="F20" s="45">
        <f>F22*E20%</f>
        <v>39219918.9278</v>
      </c>
      <c r="G20" s="46">
        <v>2275</v>
      </c>
      <c r="H20" s="44"/>
    </row>
    <row r="21" spans="1:8" s="55" customFormat="1" x14ac:dyDescent="0.25">
      <c r="A21" s="55" t="s">
        <v>50</v>
      </c>
      <c r="E21" s="55">
        <v>1.5</v>
      </c>
      <c r="F21" s="56">
        <f>F22*E21%</f>
        <v>58829878.3917</v>
      </c>
      <c r="G21" s="57">
        <v>2247</v>
      </c>
    </row>
    <row r="22" spans="1:8" x14ac:dyDescent="0.25">
      <c r="D22" s="11" t="s">
        <v>51</v>
      </c>
      <c r="E22" s="11">
        <v>100</v>
      </c>
      <c r="F22" s="43">
        <v>3921991892.7800002</v>
      </c>
      <c r="G22" s="11" t="s">
        <v>52</v>
      </c>
    </row>
    <row r="23" spans="1:8" x14ac:dyDescent="0.25">
      <c r="D23" s="11" t="s">
        <v>53</v>
      </c>
      <c r="F23" s="43">
        <v>0</v>
      </c>
      <c r="G23" s="11" t="s">
        <v>54</v>
      </c>
    </row>
    <row r="25" spans="1:8" x14ac:dyDescent="0.25">
      <c r="A25" s="11" t="s">
        <v>61</v>
      </c>
    </row>
    <row r="27" spans="1:8" s="52" customFormat="1" x14ac:dyDescent="0.25">
      <c r="A27" s="52" t="s">
        <v>44</v>
      </c>
      <c r="E27" s="52">
        <v>65.5</v>
      </c>
      <c r="F27" s="53">
        <f>F34*E27%</f>
        <v>3940483609.9931998</v>
      </c>
      <c r="G27" s="54">
        <v>2211</v>
      </c>
    </row>
    <row r="28" spans="1:8" s="49" customFormat="1" x14ac:dyDescent="0.25">
      <c r="A28" s="49" t="s">
        <v>45</v>
      </c>
      <c r="E28" s="49">
        <v>10.5</v>
      </c>
      <c r="F28" s="50">
        <f>F34*E28%</f>
        <v>631680578.70119989</v>
      </c>
      <c r="G28" s="51">
        <v>2212</v>
      </c>
    </row>
    <row r="29" spans="1:8" x14ac:dyDescent="0.25">
      <c r="A29" s="47" t="s">
        <v>46</v>
      </c>
      <c r="B29" s="47"/>
      <c r="C29" s="47"/>
      <c r="D29" s="47"/>
      <c r="E29" s="47">
        <v>3</v>
      </c>
      <c r="F29" s="42">
        <f>F34*E29%</f>
        <v>180480165.34319997</v>
      </c>
      <c r="G29" s="48">
        <v>2247</v>
      </c>
      <c r="H29" s="47"/>
    </row>
    <row r="30" spans="1:8" s="58" customFormat="1" x14ac:dyDescent="0.25">
      <c r="A30" s="58" t="s">
        <v>47</v>
      </c>
      <c r="E30" s="58">
        <v>16.5</v>
      </c>
      <c r="F30" s="59">
        <f>F34*E30%</f>
        <v>992640909.38759995</v>
      </c>
      <c r="G30" s="60">
        <v>2236</v>
      </c>
    </row>
    <row r="31" spans="1:8" s="49" customFormat="1" x14ac:dyDescent="0.25">
      <c r="A31" s="49" t="s">
        <v>48</v>
      </c>
      <c r="E31" s="49">
        <v>2</v>
      </c>
      <c r="F31" s="50">
        <f>F34*E31%</f>
        <v>120320110.2288</v>
      </c>
      <c r="G31" s="51">
        <v>2212</v>
      </c>
    </row>
    <row r="32" spans="1:8" x14ac:dyDescent="0.25">
      <c r="A32" s="44" t="s">
        <v>49</v>
      </c>
      <c r="B32" s="44"/>
      <c r="C32" s="44"/>
      <c r="D32" s="44"/>
      <c r="E32" s="44">
        <v>1</v>
      </c>
      <c r="F32" s="45">
        <f>F34*E32%</f>
        <v>60160055.114399999</v>
      </c>
      <c r="G32" s="46">
        <v>2275</v>
      </c>
      <c r="H32" s="44"/>
    </row>
    <row r="33" spans="1:8" s="55" customFormat="1" x14ac:dyDescent="0.25">
      <c r="A33" s="55" t="s">
        <v>50</v>
      </c>
      <c r="E33" s="55">
        <v>1.5</v>
      </c>
      <c r="F33" s="56">
        <f>F34*E33%</f>
        <v>90240082.671599984</v>
      </c>
      <c r="G33" s="57">
        <v>2247</v>
      </c>
    </row>
    <row r="34" spans="1:8" x14ac:dyDescent="0.25">
      <c r="D34" s="11" t="s">
        <v>51</v>
      </c>
      <c r="E34" s="11">
        <v>100</v>
      </c>
      <c r="F34" s="43">
        <v>6016005511.4399996</v>
      </c>
      <c r="G34" s="11" t="s">
        <v>52</v>
      </c>
    </row>
    <row r="35" spans="1:8" x14ac:dyDescent="0.25">
      <c r="D35" s="11" t="s">
        <v>53</v>
      </c>
      <c r="F35" s="43">
        <v>0</v>
      </c>
      <c r="G35" s="11" t="s">
        <v>54</v>
      </c>
    </row>
    <row r="37" spans="1:8" x14ac:dyDescent="0.25">
      <c r="A37" s="11" t="s">
        <v>64</v>
      </c>
    </row>
    <row r="39" spans="1:8" s="52" customFormat="1" x14ac:dyDescent="0.25">
      <c r="A39" s="52" t="s">
        <v>44</v>
      </c>
      <c r="E39" s="52">
        <v>65.5</v>
      </c>
      <c r="F39" s="53">
        <f>F46*E39%</f>
        <v>0</v>
      </c>
      <c r="G39" s="54">
        <v>2211</v>
      </c>
    </row>
    <row r="40" spans="1:8" s="49" customFormat="1" x14ac:dyDescent="0.25">
      <c r="A40" s="49" t="s">
        <v>45</v>
      </c>
      <c r="E40" s="49">
        <v>10.5</v>
      </c>
      <c r="F40" s="50">
        <f>F46*E40%</f>
        <v>0</v>
      </c>
      <c r="G40" s="51">
        <v>2212</v>
      </c>
    </row>
    <row r="41" spans="1:8" x14ac:dyDescent="0.25">
      <c r="A41" s="47" t="s">
        <v>46</v>
      </c>
      <c r="B41" s="47"/>
      <c r="C41" s="47"/>
      <c r="D41" s="47"/>
      <c r="E41" s="47">
        <v>3</v>
      </c>
      <c r="F41" s="42">
        <f>F46*E41%</f>
        <v>0</v>
      </c>
      <c r="G41" s="48">
        <v>2247</v>
      </c>
      <c r="H41" s="47"/>
    </row>
    <row r="42" spans="1:8" s="58" customFormat="1" x14ac:dyDescent="0.25">
      <c r="A42" s="58" t="s">
        <v>47</v>
      </c>
      <c r="E42" s="58">
        <v>16.5</v>
      </c>
      <c r="F42" s="59">
        <f>F46*E42%</f>
        <v>0</v>
      </c>
      <c r="G42" s="60">
        <v>2236</v>
      </c>
    </row>
    <row r="43" spans="1:8" s="49" customFormat="1" x14ac:dyDescent="0.25">
      <c r="A43" s="49" t="s">
        <v>48</v>
      </c>
      <c r="E43" s="49">
        <v>2</v>
      </c>
      <c r="F43" s="50">
        <f>F46*E43%</f>
        <v>0</v>
      </c>
      <c r="G43" s="51">
        <v>2212</v>
      </c>
    </row>
    <row r="44" spans="1:8" x14ac:dyDescent="0.25">
      <c r="A44" s="44" t="s">
        <v>49</v>
      </c>
      <c r="B44" s="44"/>
      <c r="C44" s="44"/>
      <c r="D44" s="44"/>
      <c r="E44" s="44">
        <v>1</v>
      </c>
      <c r="F44" s="45">
        <f>F46*E44%</f>
        <v>0</v>
      </c>
      <c r="G44" s="46">
        <v>2275</v>
      </c>
      <c r="H44" s="44"/>
    </row>
    <row r="45" spans="1:8" s="55" customFormat="1" x14ac:dyDescent="0.25">
      <c r="A45" s="55" t="s">
        <v>50</v>
      </c>
      <c r="E45" s="55">
        <v>1.5</v>
      </c>
      <c r="F45" s="56">
        <f>F46*E45%</f>
        <v>0</v>
      </c>
      <c r="G45" s="57">
        <v>2247</v>
      </c>
    </row>
    <row r="46" spans="1:8" x14ac:dyDescent="0.25">
      <c r="D46" s="11" t="s">
        <v>51</v>
      </c>
      <c r="E46" s="11">
        <v>100</v>
      </c>
      <c r="F46" s="43">
        <v>0</v>
      </c>
      <c r="G46" s="11" t="s">
        <v>52</v>
      </c>
    </row>
    <row r="47" spans="1:8" x14ac:dyDescent="0.25">
      <c r="D47" s="11" t="s">
        <v>53</v>
      </c>
      <c r="F47" s="43">
        <v>0</v>
      </c>
      <c r="G47" s="11" t="s">
        <v>54</v>
      </c>
    </row>
    <row r="49" spans="1:8" x14ac:dyDescent="0.25">
      <c r="A49" s="11" t="s">
        <v>65</v>
      </c>
    </row>
    <row r="51" spans="1:8" s="52" customFormat="1" x14ac:dyDescent="0.25">
      <c r="A51" s="52" t="s">
        <v>44</v>
      </c>
      <c r="E51" s="52">
        <v>65.5</v>
      </c>
      <c r="F51" s="53">
        <f>F58*E51%</f>
        <v>0</v>
      </c>
      <c r="G51" s="54">
        <v>2211</v>
      </c>
    </row>
    <row r="52" spans="1:8" s="49" customFormat="1" x14ac:dyDescent="0.25">
      <c r="A52" s="49" t="s">
        <v>45</v>
      </c>
      <c r="E52" s="49">
        <v>10.5</v>
      </c>
      <c r="F52" s="50">
        <f>F58*E52%</f>
        <v>0</v>
      </c>
      <c r="G52" s="51">
        <v>2212</v>
      </c>
    </row>
    <row r="53" spans="1:8" x14ac:dyDescent="0.25">
      <c r="A53" s="47" t="s">
        <v>46</v>
      </c>
      <c r="B53" s="47"/>
      <c r="C53" s="47"/>
      <c r="D53" s="47"/>
      <c r="E53" s="47">
        <v>3</v>
      </c>
      <c r="F53" s="42">
        <f>F58*E53%</f>
        <v>0</v>
      </c>
      <c r="G53" s="48">
        <v>2247</v>
      </c>
      <c r="H53" s="47"/>
    </row>
    <row r="54" spans="1:8" s="58" customFormat="1" x14ac:dyDescent="0.25">
      <c r="A54" s="58" t="s">
        <v>47</v>
      </c>
      <c r="E54" s="58">
        <v>16.5</v>
      </c>
      <c r="F54" s="59">
        <f>F58*E54%</f>
        <v>0</v>
      </c>
      <c r="G54" s="60">
        <v>2236</v>
      </c>
    </row>
    <row r="55" spans="1:8" s="49" customFormat="1" x14ac:dyDescent="0.25">
      <c r="A55" s="49" t="s">
        <v>48</v>
      </c>
      <c r="E55" s="49">
        <v>2</v>
      </c>
      <c r="F55" s="50">
        <f>F58*E55%</f>
        <v>0</v>
      </c>
      <c r="G55" s="51">
        <v>2212</v>
      </c>
    </row>
    <row r="56" spans="1:8" x14ac:dyDescent="0.25">
      <c r="A56" s="44" t="s">
        <v>49</v>
      </c>
      <c r="B56" s="44"/>
      <c r="C56" s="44"/>
      <c r="D56" s="44"/>
      <c r="E56" s="44">
        <v>1</v>
      </c>
      <c r="F56" s="45">
        <f>F58*E56%</f>
        <v>0</v>
      </c>
      <c r="G56" s="46">
        <v>2275</v>
      </c>
      <c r="H56" s="44"/>
    </row>
    <row r="57" spans="1:8" s="55" customFormat="1" x14ac:dyDescent="0.25">
      <c r="A57" s="55" t="s">
        <v>50</v>
      </c>
      <c r="E57" s="55">
        <v>1.5</v>
      </c>
      <c r="F57" s="56">
        <f>F58*E57%</f>
        <v>0</v>
      </c>
      <c r="G57" s="57">
        <v>2247</v>
      </c>
    </row>
    <row r="58" spans="1:8" x14ac:dyDescent="0.25">
      <c r="D58" s="11" t="s">
        <v>51</v>
      </c>
      <c r="E58" s="11">
        <v>100</v>
      </c>
      <c r="F58" s="43">
        <v>0</v>
      </c>
      <c r="G58" s="11" t="s">
        <v>52</v>
      </c>
    </row>
    <row r="59" spans="1:8" x14ac:dyDescent="0.25">
      <c r="D59" s="11" t="s">
        <v>53</v>
      </c>
      <c r="F59" s="43">
        <v>0</v>
      </c>
      <c r="G59" s="11" t="s">
        <v>54</v>
      </c>
    </row>
    <row r="61" spans="1:8" x14ac:dyDescent="0.25">
      <c r="A61" s="11" t="s">
        <v>66</v>
      </c>
    </row>
    <row r="63" spans="1:8" s="52" customFormat="1" x14ac:dyDescent="0.25">
      <c r="A63" s="52" t="s">
        <v>44</v>
      </c>
      <c r="E63" s="52">
        <v>65.5</v>
      </c>
      <c r="F63" s="53">
        <f>F70*E63%</f>
        <v>0</v>
      </c>
      <c r="G63" s="54">
        <v>2211</v>
      </c>
    </row>
    <row r="64" spans="1:8" s="49" customFormat="1" x14ac:dyDescent="0.25">
      <c r="A64" s="49" t="s">
        <v>45</v>
      </c>
      <c r="E64" s="49">
        <v>10.5</v>
      </c>
      <c r="F64" s="50">
        <f>F70*E64%</f>
        <v>0</v>
      </c>
      <c r="G64" s="51">
        <v>2212</v>
      </c>
    </row>
    <row r="65" spans="1:8" x14ac:dyDescent="0.25">
      <c r="A65" s="47" t="s">
        <v>46</v>
      </c>
      <c r="B65" s="47"/>
      <c r="C65" s="47"/>
      <c r="D65" s="47"/>
      <c r="E65" s="47">
        <v>3</v>
      </c>
      <c r="F65" s="42">
        <f>F70*E65%</f>
        <v>0</v>
      </c>
      <c r="G65" s="48">
        <v>2247</v>
      </c>
      <c r="H65" s="47"/>
    </row>
    <row r="66" spans="1:8" s="58" customFormat="1" x14ac:dyDescent="0.25">
      <c r="A66" s="58" t="s">
        <v>47</v>
      </c>
      <c r="E66" s="58">
        <v>16.5</v>
      </c>
      <c r="F66" s="59">
        <f>F70*E66%</f>
        <v>0</v>
      </c>
      <c r="G66" s="60">
        <v>2236</v>
      </c>
    </row>
    <row r="67" spans="1:8" s="49" customFormat="1" x14ac:dyDescent="0.25">
      <c r="A67" s="49" t="s">
        <v>48</v>
      </c>
      <c r="E67" s="49">
        <v>2</v>
      </c>
      <c r="F67" s="50">
        <f>F70*E67%</f>
        <v>0</v>
      </c>
      <c r="G67" s="51">
        <v>2212</v>
      </c>
    </row>
    <row r="68" spans="1:8" x14ac:dyDescent="0.25">
      <c r="A68" s="44" t="s">
        <v>49</v>
      </c>
      <c r="B68" s="44"/>
      <c r="C68" s="44"/>
      <c r="D68" s="44"/>
      <c r="E68" s="44">
        <v>1</v>
      </c>
      <c r="F68" s="45">
        <f>F70*E68%</f>
        <v>0</v>
      </c>
      <c r="G68" s="46">
        <v>2275</v>
      </c>
      <c r="H68" s="44"/>
    </row>
    <row r="69" spans="1:8" s="55" customFormat="1" x14ac:dyDescent="0.25">
      <c r="A69" s="55" t="s">
        <v>50</v>
      </c>
      <c r="E69" s="55">
        <v>1.5</v>
      </c>
      <c r="F69" s="56">
        <f>F70*E69%</f>
        <v>0</v>
      </c>
      <c r="G69" s="57">
        <v>2247</v>
      </c>
    </row>
    <row r="70" spans="1:8" x14ac:dyDescent="0.25">
      <c r="D70" s="11" t="s">
        <v>51</v>
      </c>
      <c r="E70" s="11">
        <v>100</v>
      </c>
      <c r="F70" s="43">
        <v>0</v>
      </c>
      <c r="G70" s="11" t="s">
        <v>52</v>
      </c>
    </row>
    <row r="71" spans="1:8" x14ac:dyDescent="0.25">
      <c r="D71" s="11" t="s">
        <v>53</v>
      </c>
      <c r="F71" s="43">
        <v>0</v>
      </c>
      <c r="G71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1"/>
  <sheetViews>
    <sheetView topLeftCell="A7" workbookViewId="0">
      <selection activeCell="B16" sqref="B16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3" spans="1:14" ht="15.75" x14ac:dyDescent="0.25">
      <c r="A3" s="104" t="s">
        <v>18</v>
      </c>
      <c r="B3" s="104"/>
      <c r="C3" s="104"/>
      <c r="D3" s="104"/>
      <c r="E3" s="104"/>
      <c r="F3" s="104"/>
      <c r="G3" s="15"/>
      <c r="H3" s="15"/>
      <c r="I3" s="15"/>
      <c r="J3" s="15"/>
      <c r="K3" s="15"/>
      <c r="L3" s="15"/>
      <c r="M3" s="15"/>
      <c r="N3" s="15"/>
    </row>
    <row r="4" spans="1:14" ht="15.75" x14ac:dyDescent="0.25">
      <c r="A4" s="104" t="s">
        <v>19</v>
      </c>
      <c r="B4" s="104"/>
      <c r="C4" s="104"/>
      <c r="D4" s="104"/>
      <c r="E4" s="104"/>
      <c r="F4" s="104"/>
      <c r="G4" s="15"/>
      <c r="H4" s="15"/>
      <c r="I4" s="15"/>
      <c r="J4" s="15"/>
      <c r="K4" s="15"/>
      <c r="L4" s="15"/>
      <c r="M4" s="15"/>
      <c r="N4" s="15"/>
    </row>
    <row r="5" spans="1:14" ht="15.75" x14ac:dyDescent="0.25">
      <c r="A5" s="104" t="s">
        <v>12</v>
      </c>
      <c r="B5" s="104"/>
      <c r="C5" s="104"/>
      <c r="D5" s="104"/>
      <c r="E5" s="104"/>
      <c r="F5" s="104"/>
      <c r="G5" s="15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58</v>
      </c>
      <c r="B6" s="104"/>
      <c r="C6" s="104"/>
      <c r="D6" s="104"/>
      <c r="E6" s="104"/>
      <c r="F6" s="104"/>
      <c r="G6" s="15"/>
      <c r="H6" s="15"/>
      <c r="I6" s="15"/>
      <c r="J6" s="15"/>
      <c r="K6" s="15"/>
      <c r="L6" s="15"/>
      <c r="M6" s="15"/>
      <c r="N6" s="15"/>
    </row>
    <row r="7" spans="1:14" ht="15.75" x14ac:dyDescent="0.25">
      <c r="A7" s="38"/>
      <c r="B7" s="38"/>
      <c r="C7" s="38"/>
      <c r="D7" s="38"/>
      <c r="E7" s="38"/>
      <c r="F7" s="38"/>
      <c r="G7" s="15"/>
      <c r="H7" s="15"/>
      <c r="I7" s="15"/>
      <c r="J7" s="15"/>
      <c r="K7" s="15"/>
      <c r="L7" s="15"/>
      <c r="M7" s="15"/>
      <c r="N7" s="15"/>
    </row>
    <row r="8" spans="1:14" ht="15.75" x14ac:dyDescent="0.25">
      <c r="A8" s="38" t="s">
        <v>13</v>
      </c>
      <c r="B8" s="104" t="s">
        <v>14</v>
      </c>
      <c r="C8" s="104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 s="11" customFormat="1" x14ac:dyDescent="0.25">
      <c r="A9" s="10">
        <v>2211</v>
      </c>
      <c r="B9" s="22" t="s">
        <v>17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9">
        <v>2212</v>
      </c>
      <c r="B10" s="3" t="s">
        <v>20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9">
        <v>2236</v>
      </c>
      <c r="B11" s="3" t="s">
        <v>21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9">
        <v>2247</v>
      </c>
      <c r="B12" s="3" t="s">
        <v>22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2275</v>
      </c>
      <c r="B13" s="3" t="s">
        <v>23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1"/>
      <c r="B14" s="9">
        <v>0.9</v>
      </c>
      <c r="C14" s="9">
        <v>2</v>
      </c>
      <c r="D14" s="9">
        <v>1</v>
      </c>
      <c r="E14" s="9">
        <v>0.9</v>
      </c>
      <c r="F14" s="9">
        <v>2</v>
      </c>
      <c r="G14" s="1"/>
      <c r="H14" s="1"/>
      <c r="I14" s="1"/>
      <c r="J14" s="1"/>
      <c r="K14" s="1"/>
      <c r="L14" s="1"/>
      <c r="M14" s="1"/>
    </row>
    <row r="15" spans="1:14" ht="15.75" x14ac:dyDescent="0.25">
      <c r="A15" s="2" t="s">
        <v>15</v>
      </c>
      <c r="B15" s="2">
        <v>2211</v>
      </c>
      <c r="C15" s="2">
        <v>2212</v>
      </c>
      <c r="D15" s="2">
        <v>2236</v>
      </c>
      <c r="E15" s="2">
        <v>2247</v>
      </c>
      <c r="F15" s="2">
        <v>2275</v>
      </c>
      <c r="G15" s="2" t="s">
        <v>25</v>
      </c>
      <c r="H15" s="12"/>
      <c r="I15" s="12"/>
      <c r="J15" s="12"/>
      <c r="K15" s="12"/>
      <c r="L15" s="12"/>
      <c r="M15" s="12"/>
      <c r="N15" s="12"/>
    </row>
    <row r="16" spans="1:14" x14ac:dyDescent="0.25">
      <c r="A16" s="4" t="s">
        <v>0</v>
      </c>
      <c r="B16" s="5">
        <f>'01-2018'!F3</f>
        <v>340954882.7335</v>
      </c>
      <c r="C16" s="5">
        <f>'01-2018'!F4+'01-2018'!F7</f>
        <v>65067725.712499999</v>
      </c>
      <c r="D16" s="5">
        <f>'01-2018'!F6</f>
        <v>85889397.940500006</v>
      </c>
      <c r="E16" s="5">
        <f>'01-2018'!F5+'01-2018'!F9</f>
        <v>23424381.256499998</v>
      </c>
      <c r="F16" s="5">
        <f>'01-2018'!F8</f>
        <v>5205418.057</v>
      </c>
      <c r="G16" s="5">
        <f>+B16+C16+D16+E16+F16</f>
        <v>520541805.69999999</v>
      </c>
      <c r="H16" s="13"/>
      <c r="I16" s="13"/>
      <c r="J16" s="13"/>
      <c r="K16" s="13"/>
      <c r="L16" s="13"/>
      <c r="M16" s="13"/>
      <c r="N16" s="14"/>
    </row>
    <row r="17" spans="1:13" x14ac:dyDescent="0.25">
      <c r="A17" s="16" t="s">
        <v>1</v>
      </c>
      <c r="B17" s="5">
        <f>'01-2018'!F15</f>
        <v>437289391.66175002</v>
      </c>
      <c r="C17" s="5">
        <f>'01-2018'!F16+'01-2018'!F19</f>
        <v>83452173.981250003</v>
      </c>
      <c r="D17" s="5">
        <f>'01-2018'!F18</f>
        <v>110156869.65525001</v>
      </c>
      <c r="E17" s="5">
        <f>'01-2018'!F17+'01-2018'!F21</f>
        <v>30042782.633249998</v>
      </c>
      <c r="F17" s="5">
        <f>'01-2018'!F20</f>
        <v>6676173.9185000006</v>
      </c>
      <c r="G17" s="5">
        <f t="shared" ref="G17:G27" si="0">+B17+C17+D17+E17+F17</f>
        <v>667617391.8499999</v>
      </c>
      <c r="H17" s="1"/>
      <c r="I17" s="1"/>
      <c r="J17" s="1"/>
      <c r="K17" s="1"/>
      <c r="L17" s="1"/>
      <c r="M17" s="1"/>
    </row>
    <row r="18" spans="1:13" x14ac:dyDescent="0.25">
      <c r="A18" s="16" t="s">
        <v>2</v>
      </c>
      <c r="B18" s="5">
        <f>'01-2018'!F27</f>
        <v>795319923.1989001</v>
      </c>
      <c r="C18" s="5">
        <f>'01-2018'!F28+'01-2018'!F31</f>
        <v>151778611.29750001</v>
      </c>
      <c r="D18" s="5">
        <f>'01-2018'!F30</f>
        <v>200347766.91270003</v>
      </c>
      <c r="E18" s="5">
        <f>'01-2018'!F29+'01-2018'!F33</f>
        <v>54640300.067100003</v>
      </c>
      <c r="F18" s="5">
        <f>'01-2018'!F32</f>
        <v>12142288.903800001</v>
      </c>
      <c r="G18" s="5">
        <f t="shared" si="0"/>
        <v>1214228890.3800001</v>
      </c>
      <c r="H18" s="1"/>
      <c r="I18" s="1"/>
      <c r="J18" s="1"/>
      <c r="K18" s="1"/>
      <c r="L18" s="1"/>
      <c r="M18" s="1"/>
    </row>
    <row r="19" spans="1:13" x14ac:dyDescent="0.25">
      <c r="A19" s="17" t="s">
        <v>3</v>
      </c>
      <c r="B19" s="5"/>
      <c r="C19" s="5"/>
      <c r="D19" s="5"/>
      <c r="E19" s="5"/>
      <c r="F19" s="5"/>
      <c r="G19" s="5">
        <f t="shared" si="0"/>
        <v>0</v>
      </c>
    </row>
    <row r="20" spans="1:13" x14ac:dyDescent="0.25">
      <c r="A20" s="17" t="s">
        <v>4</v>
      </c>
      <c r="B20" s="5"/>
      <c r="C20" s="5"/>
      <c r="D20" s="5"/>
      <c r="E20" s="5"/>
      <c r="F20" s="5"/>
      <c r="G20" s="5">
        <f t="shared" si="0"/>
        <v>0</v>
      </c>
      <c r="H20" s="20"/>
    </row>
    <row r="21" spans="1:13" x14ac:dyDescent="0.25">
      <c r="A21" s="17" t="s">
        <v>5</v>
      </c>
      <c r="B21" s="5"/>
      <c r="C21" s="5"/>
      <c r="D21" s="5"/>
      <c r="E21" s="5"/>
      <c r="F21" s="5"/>
      <c r="G21" s="5">
        <f t="shared" si="0"/>
        <v>0</v>
      </c>
    </row>
    <row r="22" spans="1:13" x14ac:dyDescent="0.25">
      <c r="A22" s="17" t="s">
        <v>6</v>
      </c>
      <c r="B22" s="5"/>
      <c r="C22" s="5"/>
      <c r="D22" s="5"/>
      <c r="E22" s="5"/>
      <c r="F22" s="5"/>
      <c r="G22" s="5">
        <f t="shared" si="0"/>
        <v>0</v>
      </c>
    </row>
    <row r="23" spans="1:13" x14ac:dyDescent="0.25">
      <c r="A23" s="17" t="s">
        <v>7</v>
      </c>
      <c r="B23" s="5"/>
      <c r="C23" s="5"/>
      <c r="D23" s="5"/>
      <c r="E23" s="5"/>
      <c r="F23" s="5"/>
      <c r="G23" s="5">
        <f t="shared" si="0"/>
        <v>0</v>
      </c>
    </row>
    <row r="24" spans="1:13" x14ac:dyDescent="0.25">
      <c r="A24" s="17" t="s">
        <v>8</v>
      </c>
      <c r="B24" s="5"/>
      <c r="C24" s="5"/>
      <c r="D24" s="5"/>
      <c r="E24" s="5"/>
      <c r="F24" s="5"/>
      <c r="G24" s="5">
        <f t="shared" si="0"/>
        <v>0</v>
      </c>
    </row>
    <row r="25" spans="1:13" x14ac:dyDescent="0.25">
      <c r="A25" s="17" t="s">
        <v>11</v>
      </c>
      <c r="B25" s="5"/>
      <c r="C25" s="5"/>
      <c r="D25" s="5"/>
      <c r="E25" s="5"/>
      <c r="F25" s="5"/>
      <c r="G25" s="5">
        <f t="shared" si="0"/>
        <v>0</v>
      </c>
    </row>
    <row r="26" spans="1:13" x14ac:dyDescent="0.25">
      <c r="A26" s="17" t="s">
        <v>9</v>
      </c>
      <c r="B26" s="5"/>
      <c r="C26" s="5"/>
      <c r="D26" s="5"/>
      <c r="E26" s="5"/>
      <c r="F26" s="5"/>
      <c r="G26" s="5">
        <f t="shared" si="0"/>
        <v>0</v>
      </c>
    </row>
    <row r="27" spans="1:13" x14ac:dyDescent="0.25">
      <c r="A27" s="17" t="s">
        <v>10</v>
      </c>
      <c r="B27" s="5"/>
      <c r="C27" s="5"/>
      <c r="D27" s="5"/>
      <c r="E27" s="5"/>
      <c r="F27" s="5"/>
      <c r="G27" s="5">
        <f t="shared" si="0"/>
        <v>0</v>
      </c>
    </row>
    <row r="28" spans="1:13" x14ac:dyDescent="0.25">
      <c r="A28" s="39" t="s">
        <v>24</v>
      </c>
      <c r="B28" s="40">
        <f>SUM(B16:B27)</f>
        <v>1573564197.5941501</v>
      </c>
      <c r="C28" s="40">
        <f t="shared" ref="C28:E28" si="1">SUM(C16:C27)</f>
        <v>300298510.99125004</v>
      </c>
      <c r="D28" s="40">
        <f t="shared" si="1"/>
        <v>396394034.50845003</v>
      </c>
      <c r="E28" s="40">
        <f t="shared" si="1"/>
        <v>108107463.95684999</v>
      </c>
      <c r="F28" s="40">
        <f>SUM(F16:F27)</f>
        <v>24023880.879300002</v>
      </c>
      <c r="G28" s="41">
        <f>SUM(G16:G27)</f>
        <v>2402388087.9300003</v>
      </c>
    </row>
    <row r="29" spans="1:13" x14ac:dyDescent="0.25">
      <c r="F29" s="25"/>
    </row>
    <row r="35" spans="1:14" x14ac:dyDescent="0.25">
      <c r="F35" s="25" t="s">
        <v>26</v>
      </c>
    </row>
    <row r="36" spans="1:14" x14ac:dyDescent="0.25">
      <c r="A36" s="10">
        <v>2211</v>
      </c>
      <c r="B36" s="22" t="s">
        <v>17</v>
      </c>
      <c r="C36" s="22"/>
      <c r="D36" s="22"/>
      <c r="E36" s="23">
        <f>B28</f>
        <v>1573564197.5941501</v>
      </c>
      <c r="F36" s="10">
        <v>1.65</v>
      </c>
      <c r="G36" s="23">
        <f>E36*F36</f>
        <v>2596380926.0303473</v>
      </c>
      <c r="I36" s="22"/>
      <c r="J36" s="22"/>
      <c r="K36" s="22"/>
      <c r="L36" s="22"/>
      <c r="M36" s="22"/>
      <c r="N36" s="22"/>
    </row>
    <row r="37" spans="1:14" x14ac:dyDescent="0.25">
      <c r="A37" s="9">
        <v>2212</v>
      </c>
      <c r="B37" s="3" t="s">
        <v>20</v>
      </c>
      <c r="C37" s="3"/>
      <c r="D37" s="3"/>
      <c r="E37" s="24">
        <f>C28</f>
        <v>300298510.99125004</v>
      </c>
      <c r="F37" s="9">
        <v>1.65</v>
      </c>
      <c r="G37" s="24">
        <f>E37*F37</f>
        <v>495492543.13556254</v>
      </c>
      <c r="I37" s="3"/>
      <c r="J37" s="3"/>
      <c r="K37" s="3"/>
      <c r="L37" s="3"/>
      <c r="M37" s="3"/>
      <c r="N37" s="3"/>
    </row>
    <row r="38" spans="1:14" x14ac:dyDescent="0.25">
      <c r="A38" s="9">
        <v>2236</v>
      </c>
      <c r="B38" s="3" t="s">
        <v>21</v>
      </c>
      <c r="C38" s="3"/>
      <c r="D38" s="3"/>
      <c r="E38" s="24">
        <f>D28</f>
        <v>396394034.50845003</v>
      </c>
      <c r="F38" s="9">
        <v>1.65</v>
      </c>
      <c r="G38" s="24">
        <f>E38*F38</f>
        <v>654050156.93894255</v>
      </c>
      <c r="I38" s="3"/>
      <c r="J38" s="3"/>
      <c r="K38" s="3"/>
      <c r="L38" s="3"/>
      <c r="M38" s="3"/>
      <c r="N38" s="3"/>
    </row>
    <row r="39" spans="1:14" x14ac:dyDescent="0.25">
      <c r="A39" s="9">
        <v>2247</v>
      </c>
      <c r="B39" s="3" t="s">
        <v>22</v>
      </c>
      <c r="C39" s="3"/>
      <c r="D39" s="3"/>
      <c r="E39" s="24">
        <f>E28</f>
        <v>108107463.95684999</v>
      </c>
      <c r="F39" s="9">
        <v>1.65</v>
      </c>
      <c r="G39" s="24">
        <f>E39*F39</f>
        <v>178377315.52880248</v>
      </c>
      <c r="I39" s="3"/>
      <c r="J39" s="3"/>
      <c r="K39" s="3"/>
      <c r="L39" s="3"/>
      <c r="M39" s="3"/>
      <c r="N39" s="3"/>
    </row>
    <row r="40" spans="1:14" x14ac:dyDescent="0.25">
      <c r="A40" s="9">
        <v>2275</v>
      </c>
      <c r="B40" s="3" t="s">
        <v>23</v>
      </c>
      <c r="C40" s="3"/>
      <c r="D40" s="3"/>
      <c r="E40" s="24">
        <f>F28</f>
        <v>24023880.879300002</v>
      </c>
      <c r="F40" s="9">
        <v>1.65</v>
      </c>
      <c r="G40" s="33">
        <f>E40*F40</f>
        <v>39639403.450845003</v>
      </c>
      <c r="I40" s="3"/>
      <c r="J40" s="3"/>
      <c r="K40" s="3"/>
      <c r="L40" s="3"/>
      <c r="M40" s="3"/>
      <c r="N40" s="3"/>
    </row>
    <row r="41" spans="1:14" x14ac:dyDescent="0.25">
      <c r="G41" s="42">
        <f>SUM(G36:G40)</f>
        <v>3963940345.0844994</v>
      </c>
    </row>
  </sheetData>
  <mergeCells count="5">
    <mergeCell ref="A3:F3"/>
    <mergeCell ref="A4:F4"/>
    <mergeCell ref="A5:F5"/>
    <mergeCell ref="A6:F6"/>
    <mergeCell ref="B8:C8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F35" sqref="F35"/>
    </sheetView>
  </sheetViews>
  <sheetFormatPr baseColWidth="10" defaultRowHeight="15" x14ac:dyDescent="0.25"/>
  <cols>
    <col min="1" max="5" width="11.42578125" style="11"/>
    <col min="6" max="6" width="15.28515625" style="11" bestFit="1" customWidth="1"/>
    <col min="7" max="16384" width="11.42578125" style="11"/>
  </cols>
  <sheetData>
    <row r="1" spans="1:7" x14ac:dyDescent="0.25">
      <c r="A1" s="11" t="s">
        <v>55</v>
      </c>
    </row>
    <row r="3" spans="1:7" s="52" customFormat="1" x14ac:dyDescent="0.25">
      <c r="A3" s="52" t="s">
        <v>44</v>
      </c>
      <c r="E3" s="52">
        <v>65.5</v>
      </c>
      <c r="F3" s="53">
        <f>F10*E3%</f>
        <v>340954882.7335</v>
      </c>
      <c r="G3" s="54">
        <v>2211</v>
      </c>
    </row>
    <row r="4" spans="1:7" s="49" customFormat="1" x14ac:dyDescent="0.25">
      <c r="A4" s="49" t="s">
        <v>45</v>
      </c>
      <c r="E4" s="49">
        <v>10.5</v>
      </c>
      <c r="F4" s="50">
        <f>F10*E4%</f>
        <v>54656889.598499998</v>
      </c>
      <c r="G4" s="51">
        <v>2212</v>
      </c>
    </row>
    <row r="5" spans="1:7" s="47" customFormat="1" x14ac:dyDescent="0.25">
      <c r="A5" s="47" t="s">
        <v>46</v>
      </c>
      <c r="E5" s="47">
        <v>3</v>
      </c>
      <c r="F5" s="42">
        <f>F10*E5%</f>
        <v>15616254.170999998</v>
      </c>
      <c r="G5" s="48">
        <v>2247</v>
      </c>
    </row>
    <row r="6" spans="1:7" s="58" customFormat="1" x14ac:dyDescent="0.25">
      <c r="A6" s="58" t="s">
        <v>47</v>
      </c>
      <c r="E6" s="58">
        <v>16.5</v>
      </c>
      <c r="F6" s="59">
        <f>F10*E6%</f>
        <v>85889397.940500006</v>
      </c>
      <c r="G6" s="60">
        <v>2236</v>
      </c>
    </row>
    <row r="7" spans="1:7" s="49" customFormat="1" x14ac:dyDescent="0.25">
      <c r="A7" s="49" t="s">
        <v>48</v>
      </c>
      <c r="E7" s="49">
        <v>2</v>
      </c>
      <c r="F7" s="50">
        <f>F10*E7%</f>
        <v>10410836.114</v>
      </c>
      <c r="G7" s="51">
        <v>2212</v>
      </c>
    </row>
    <row r="8" spans="1:7" s="44" customFormat="1" x14ac:dyDescent="0.25">
      <c r="A8" s="44" t="s">
        <v>49</v>
      </c>
      <c r="E8" s="44">
        <v>1</v>
      </c>
      <c r="F8" s="45">
        <f>F10*E8%</f>
        <v>5205418.057</v>
      </c>
      <c r="G8" s="46">
        <v>2275</v>
      </c>
    </row>
    <row r="9" spans="1:7" s="55" customFormat="1" x14ac:dyDescent="0.25">
      <c r="A9" s="55" t="s">
        <v>50</v>
      </c>
      <c r="E9" s="55">
        <v>1.5</v>
      </c>
      <c r="F9" s="56">
        <f>F10*E9%</f>
        <v>7808127.0854999991</v>
      </c>
      <c r="G9" s="57">
        <v>2247</v>
      </c>
    </row>
    <row r="10" spans="1:7" x14ac:dyDescent="0.25">
      <c r="D10" s="11" t="s">
        <v>51</v>
      </c>
      <c r="E10" s="11">
        <v>100</v>
      </c>
      <c r="F10" s="43">
        <v>520541805.69999999</v>
      </c>
      <c r="G10" s="11" t="s">
        <v>52</v>
      </c>
    </row>
    <row r="11" spans="1:7" x14ac:dyDescent="0.25">
      <c r="D11" s="11" t="s">
        <v>53</v>
      </c>
      <c r="F11" s="43">
        <v>0</v>
      </c>
      <c r="G11" s="11" t="s">
        <v>54</v>
      </c>
    </row>
    <row r="13" spans="1:7" x14ac:dyDescent="0.25">
      <c r="A13" s="11" t="s">
        <v>56</v>
      </c>
    </row>
    <row r="15" spans="1:7" s="52" customFormat="1" x14ac:dyDescent="0.25">
      <c r="A15" s="52" t="s">
        <v>44</v>
      </c>
      <c r="E15" s="52">
        <v>65.5</v>
      </c>
      <c r="F15" s="53">
        <f>F22*E15%</f>
        <v>437289391.66175002</v>
      </c>
      <c r="G15" s="54">
        <v>2211</v>
      </c>
    </row>
    <row r="16" spans="1:7" s="49" customFormat="1" x14ac:dyDescent="0.25">
      <c r="A16" s="49" t="s">
        <v>45</v>
      </c>
      <c r="E16" s="49">
        <v>10.5</v>
      </c>
      <c r="F16" s="50">
        <f>F22*E16%</f>
        <v>70099826.144250005</v>
      </c>
      <c r="G16" s="51">
        <v>2212</v>
      </c>
    </row>
    <row r="17" spans="1:8" x14ac:dyDescent="0.25">
      <c r="A17" s="47" t="s">
        <v>46</v>
      </c>
      <c r="B17" s="47"/>
      <c r="C17" s="47"/>
      <c r="D17" s="47"/>
      <c r="E17" s="47">
        <v>3</v>
      </c>
      <c r="F17" s="42">
        <f>F22*E17%</f>
        <v>20028521.7555</v>
      </c>
      <c r="G17" s="48">
        <v>2247</v>
      </c>
      <c r="H17" s="47"/>
    </row>
    <row r="18" spans="1:8" s="58" customFormat="1" x14ac:dyDescent="0.25">
      <c r="A18" s="58" t="s">
        <v>47</v>
      </c>
      <c r="E18" s="58">
        <v>16.5</v>
      </c>
      <c r="F18" s="59">
        <f>F22*E18%</f>
        <v>110156869.65525001</v>
      </c>
      <c r="G18" s="60">
        <v>2236</v>
      </c>
    </row>
    <row r="19" spans="1:8" s="49" customFormat="1" x14ac:dyDescent="0.25">
      <c r="A19" s="49" t="s">
        <v>48</v>
      </c>
      <c r="E19" s="49">
        <v>2</v>
      </c>
      <c r="F19" s="50">
        <f>F22*E19%</f>
        <v>13352347.837000001</v>
      </c>
      <c r="G19" s="51">
        <v>2212</v>
      </c>
    </row>
    <row r="20" spans="1:8" x14ac:dyDescent="0.25">
      <c r="A20" s="44" t="s">
        <v>49</v>
      </c>
      <c r="B20" s="44"/>
      <c r="C20" s="44"/>
      <c r="D20" s="44"/>
      <c r="E20" s="44">
        <v>1</v>
      </c>
      <c r="F20" s="45">
        <f>F22*E20%</f>
        <v>6676173.9185000006</v>
      </c>
      <c r="G20" s="46">
        <v>2275</v>
      </c>
      <c r="H20" s="44"/>
    </row>
    <row r="21" spans="1:8" s="55" customFormat="1" x14ac:dyDescent="0.25">
      <c r="A21" s="55" t="s">
        <v>50</v>
      </c>
      <c r="E21" s="55">
        <v>1.5</v>
      </c>
      <c r="F21" s="56">
        <f>F22*E21%</f>
        <v>10014260.87775</v>
      </c>
      <c r="G21" s="57">
        <v>2247</v>
      </c>
    </row>
    <row r="22" spans="1:8" x14ac:dyDescent="0.25">
      <c r="D22" s="11" t="s">
        <v>51</v>
      </c>
      <c r="E22" s="11">
        <v>100</v>
      </c>
      <c r="F22" s="43">
        <v>667617391.85000002</v>
      </c>
      <c r="G22" s="11" t="s">
        <v>52</v>
      </c>
    </row>
    <row r="23" spans="1:8" x14ac:dyDescent="0.25">
      <c r="D23" s="11" t="s">
        <v>53</v>
      </c>
      <c r="F23" s="43">
        <v>0</v>
      </c>
      <c r="G23" s="11" t="s">
        <v>54</v>
      </c>
    </row>
    <row r="25" spans="1:8" x14ac:dyDescent="0.25">
      <c r="A25" s="11" t="s">
        <v>57</v>
      </c>
    </row>
    <row r="27" spans="1:8" s="52" customFormat="1" x14ac:dyDescent="0.25">
      <c r="A27" s="52" t="s">
        <v>44</v>
      </c>
      <c r="E27" s="52">
        <v>65.5</v>
      </c>
      <c r="F27" s="53">
        <f>F34*E27%</f>
        <v>795319923.1989001</v>
      </c>
      <c r="G27" s="54">
        <v>2211</v>
      </c>
    </row>
    <row r="28" spans="1:8" s="49" customFormat="1" x14ac:dyDescent="0.25">
      <c r="A28" s="49" t="s">
        <v>45</v>
      </c>
      <c r="E28" s="49">
        <v>10.5</v>
      </c>
      <c r="F28" s="50">
        <f>F34*E28%</f>
        <v>127494033.48990001</v>
      </c>
      <c r="G28" s="51">
        <v>2212</v>
      </c>
    </row>
    <row r="29" spans="1:8" x14ac:dyDescent="0.25">
      <c r="A29" s="47" t="s">
        <v>46</v>
      </c>
      <c r="B29" s="47"/>
      <c r="C29" s="47"/>
      <c r="D29" s="47"/>
      <c r="E29" s="47">
        <v>3</v>
      </c>
      <c r="F29" s="42">
        <f>F34*E29%</f>
        <v>36426866.711400002</v>
      </c>
      <c r="G29" s="48">
        <v>2247</v>
      </c>
      <c r="H29" s="47"/>
    </row>
    <row r="30" spans="1:8" s="58" customFormat="1" x14ac:dyDescent="0.25">
      <c r="A30" s="58" t="s">
        <v>47</v>
      </c>
      <c r="E30" s="58">
        <v>16.5</v>
      </c>
      <c r="F30" s="59">
        <f>F34*E30%</f>
        <v>200347766.91270003</v>
      </c>
      <c r="G30" s="60">
        <v>2236</v>
      </c>
    </row>
    <row r="31" spans="1:8" s="49" customFormat="1" x14ac:dyDescent="0.25">
      <c r="A31" s="49" t="s">
        <v>48</v>
      </c>
      <c r="E31" s="49">
        <v>2</v>
      </c>
      <c r="F31" s="50">
        <f>F34*E31%</f>
        <v>24284577.807600003</v>
      </c>
      <c r="G31" s="51">
        <v>2212</v>
      </c>
    </row>
    <row r="32" spans="1:8" x14ac:dyDescent="0.25">
      <c r="A32" s="44" t="s">
        <v>49</v>
      </c>
      <c r="B32" s="44"/>
      <c r="C32" s="44"/>
      <c r="D32" s="44"/>
      <c r="E32" s="44">
        <v>1</v>
      </c>
      <c r="F32" s="45">
        <f>F34*E32%</f>
        <v>12142288.903800001</v>
      </c>
      <c r="G32" s="46">
        <v>2275</v>
      </c>
      <c r="H32" s="44"/>
    </row>
    <row r="33" spans="1:7" s="55" customFormat="1" x14ac:dyDescent="0.25">
      <c r="A33" s="55" t="s">
        <v>50</v>
      </c>
      <c r="E33" s="55">
        <v>1.5</v>
      </c>
      <c r="F33" s="56">
        <f>F34*E33%</f>
        <v>18213433.355700001</v>
      </c>
      <c r="G33" s="57">
        <v>2247</v>
      </c>
    </row>
    <row r="34" spans="1:7" x14ac:dyDescent="0.25">
      <c r="D34" s="11" t="s">
        <v>51</v>
      </c>
      <c r="E34" s="11">
        <v>100</v>
      </c>
      <c r="F34" s="43">
        <v>1214228890.3800001</v>
      </c>
      <c r="G34" s="11" t="s">
        <v>52</v>
      </c>
    </row>
    <row r="35" spans="1:7" x14ac:dyDescent="0.25">
      <c r="D35" s="11" t="s">
        <v>53</v>
      </c>
      <c r="F35" s="43">
        <v>0</v>
      </c>
      <c r="G35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1"/>
  <sheetViews>
    <sheetView workbookViewId="0">
      <selection activeCell="B13" sqref="B13:N13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3" spans="1:14" ht="15.75" x14ac:dyDescent="0.25">
      <c r="A3" s="104" t="s">
        <v>18</v>
      </c>
      <c r="B3" s="104"/>
      <c r="C3" s="104"/>
      <c r="D3" s="104"/>
      <c r="E3" s="104"/>
      <c r="F3" s="104"/>
      <c r="G3" s="15"/>
      <c r="H3" s="15"/>
      <c r="I3" s="15"/>
      <c r="J3" s="15"/>
      <c r="K3" s="15"/>
      <c r="L3" s="15"/>
      <c r="M3" s="15"/>
      <c r="N3" s="15"/>
    </row>
    <row r="4" spans="1:14" ht="15.75" x14ac:dyDescent="0.25">
      <c r="A4" s="104" t="s">
        <v>19</v>
      </c>
      <c r="B4" s="104"/>
      <c r="C4" s="104"/>
      <c r="D4" s="104"/>
      <c r="E4" s="104"/>
      <c r="F4" s="104"/>
      <c r="G4" s="15"/>
      <c r="H4" s="15"/>
      <c r="I4" s="15"/>
      <c r="J4" s="15"/>
      <c r="K4" s="15"/>
      <c r="L4" s="15"/>
      <c r="M4" s="15"/>
      <c r="N4" s="15"/>
    </row>
    <row r="5" spans="1:14" ht="15.75" x14ac:dyDescent="0.25">
      <c r="A5" s="104" t="s">
        <v>12</v>
      </c>
      <c r="B5" s="104"/>
      <c r="C5" s="104"/>
      <c r="D5" s="104"/>
      <c r="E5" s="104"/>
      <c r="F5" s="104"/>
      <c r="G5" s="15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43</v>
      </c>
      <c r="B6" s="104"/>
      <c r="C6" s="104"/>
      <c r="D6" s="104"/>
      <c r="E6" s="104"/>
      <c r="F6" s="104"/>
      <c r="G6" s="15"/>
      <c r="H6" s="15"/>
      <c r="I6" s="15"/>
      <c r="J6" s="15"/>
      <c r="K6" s="15"/>
      <c r="L6" s="15"/>
      <c r="M6" s="15"/>
      <c r="N6" s="15"/>
    </row>
    <row r="7" spans="1:14" ht="15.75" x14ac:dyDescent="0.25">
      <c r="A7" s="37"/>
      <c r="B7" s="37"/>
      <c r="C7" s="37"/>
      <c r="D7" s="37"/>
      <c r="E7" s="37"/>
      <c r="F7" s="37"/>
      <c r="G7" s="15"/>
      <c r="H7" s="15"/>
      <c r="I7" s="15"/>
      <c r="J7" s="15"/>
      <c r="K7" s="15"/>
      <c r="L7" s="15"/>
      <c r="M7" s="15"/>
      <c r="N7" s="15"/>
    </row>
    <row r="8" spans="1:14" ht="15.75" x14ac:dyDescent="0.25">
      <c r="A8" s="37" t="s">
        <v>13</v>
      </c>
      <c r="B8" s="104" t="s">
        <v>14</v>
      </c>
      <c r="C8" s="104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 s="11" customFormat="1" x14ac:dyDescent="0.25">
      <c r="A9" s="10">
        <v>2211</v>
      </c>
      <c r="B9" s="106" t="s">
        <v>17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x14ac:dyDescent="0.25">
      <c r="A10" s="9">
        <v>2212</v>
      </c>
      <c r="B10" s="105" t="s">
        <v>20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x14ac:dyDescent="0.25">
      <c r="A11" s="9">
        <v>2236</v>
      </c>
      <c r="B11" s="105" t="s">
        <v>21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x14ac:dyDescent="0.25">
      <c r="A12" s="9">
        <v>2247</v>
      </c>
      <c r="B12" s="105" t="s">
        <v>22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x14ac:dyDescent="0.25">
      <c r="A13" s="9">
        <v>2275</v>
      </c>
      <c r="B13" s="105" t="s">
        <v>23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x14ac:dyDescent="0.25">
      <c r="A14" s="1"/>
      <c r="B14" s="9">
        <v>0.9</v>
      </c>
      <c r="C14" s="9">
        <v>2</v>
      </c>
      <c r="D14" s="9">
        <v>1</v>
      </c>
      <c r="E14" s="9">
        <v>0.9</v>
      </c>
      <c r="F14" s="9">
        <v>2</v>
      </c>
      <c r="G14" s="1"/>
      <c r="H14" s="1"/>
      <c r="I14" s="1"/>
      <c r="J14" s="1"/>
      <c r="K14" s="1"/>
      <c r="L14" s="1"/>
      <c r="M14" s="1"/>
    </row>
    <row r="15" spans="1:14" ht="15.75" x14ac:dyDescent="0.25">
      <c r="A15" s="2" t="s">
        <v>15</v>
      </c>
      <c r="B15" s="2">
        <v>2211</v>
      </c>
      <c r="C15" s="2">
        <v>2212</v>
      </c>
      <c r="D15" s="2">
        <v>2236</v>
      </c>
      <c r="E15" s="2">
        <v>2247</v>
      </c>
      <c r="F15" s="2">
        <v>2275</v>
      </c>
      <c r="G15" s="2" t="s">
        <v>25</v>
      </c>
      <c r="H15" s="12"/>
      <c r="I15" s="12"/>
      <c r="J15" s="12"/>
      <c r="K15" s="12"/>
      <c r="L15" s="12"/>
      <c r="M15" s="12"/>
      <c r="N15" s="12"/>
    </row>
    <row r="16" spans="1:14" x14ac:dyDescent="0.25">
      <c r="A16" s="4" t="s">
        <v>0</v>
      </c>
      <c r="B16" s="5">
        <v>14172014.890000001</v>
      </c>
      <c r="C16" s="5">
        <f>2271849.71+432733.28</f>
        <v>2704582.99</v>
      </c>
      <c r="D16" s="5">
        <v>3570049.55</v>
      </c>
      <c r="E16" s="5">
        <f>649099.92+324549.96</f>
        <v>973649.88000000012</v>
      </c>
      <c r="F16" s="5">
        <v>216366.64</v>
      </c>
      <c r="G16" s="5">
        <f>+B16+C16+D16+E16+F16</f>
        <v>21636663.950000003</v>
      </c>
      <c r="H16" s="13"/>
      <c r="I16" s="13"/>
      <c r="J16" s="13"/>
      <c r="K16" s="13"/>
      <c r="L16" s="13"/>
      <c r="M16" s="13"/>
      <c r="N16" s="14"/>
    </row>
    <row r="17" spans="1:13" x14ac:dyDescent="0.25">
      <c r="A17" s="16" t="s">
        <v>1</v>
      </c>
      <c r="B17" s="5">
        <v>20789966.41</v>
      </c>
      <c r="C17" s="5">
        <f>3332742.71+634808.13</f>
        <v>3967550.84</v>
      </c>
      <c r="D17" s="5">
        <v>5237167.1100000003</v>
      </c>
      <c r="E17" s="5">
        <f>952212.2+476106.1</f>
        <v>1428318.2999999998</v>
      </c>
      <c r="F17" s="5">
        <v>317404.07</v>
      </c>
      <c r="G17" s="5">
        <f t="shared" ref="G17:G27" si="0">+B17+C17+D17+E17+F17</f>
        <v>31740406.73</v>
      </c>
      <c r="H17" s="1"/>
      <c r="I17" s="1"/>
      <c r="J17" s="1"/>
      <c r="K17" s="1"/>
      <c r="L17" s="1"/>
      <c r="M17" s="1"/>
    </row>
    <row r="18" spans="1:13" x14ac:dyDescent="0.25">
      <c r="A18" s="16" t="s">
        <v>2</v>
      </c>
      <c r="B18" s="5">
        <v>26129332.829999998</v>
      </c>
      <c r="C18" s="5">
        <f>4188671.67+797842.22</f>
        <v>4986513.8899999997</v>
      </c>
      <c r="D18" s="5">
        <v>6582198.3499999996</v>
      </c>
      <c r="E18" s="5">
        <f>1196763.34+598381.67</f>
        <v>1795145.0100000002</v>
      </c>
      <c r="F18" s="5">
        <v>398921.11</v>
      </c>
      <c r="G18" s="5">
        <f t="shared" si="0"/>
        <v>39892111.189999998</v>
      </c>
      <c r="H18" s="1"/>
      <c r="I18" s="1"/>
      <c r="J18" s="1"/>
      <c r="K18" s="1"/>
      <c r="L18" s="1"/>
      <c r="M18" s="1"/>
    </row>
    <row r="19" spans="1:13" x14ac:dyDescent="0.25">
      <c r="A19" s="17" t="s">
        <v>3</v>
      </c>
      <c r="B19" s="5">
        <v>23674157.77</v>
      </c>
      <c r="C19" s="5">
        <f>3795093.99+722875.05</f>
        <v>4517969.04</v>
      </c>
      <c r="D19" s="5">
        <v>5963719.1299999999</v>
      </c>
      <c r="E19" s="5">
        <f>1084312.57+542156.28</f>
        <v>1626468.85</v>
      </c>
      <c r="F19" s="5">
        <v>361437.53</v>
      </c>
      <c r="G19" s="5">
        <f t="shared" si="0"/>
        <v>36143752.32</v>
      </c>
    </row>
    <row r="20" spans="1:13" x14ac:dyDescent="0.25">
      <c r="A20" s="17" t="s">
        <v>4</v>
      </c>
      <c r="B20" s="5">
        <v>35898240.579999998</v>
      </c>
      <c r="C20" s="5">
        <f>5754679.79+1096129.48</f>
        <v>6850809.2699999996</v>
      </c>
      <c r="D20" s="5">
        <v>9043068.2400000002</v>
      </c>
      <c r="E20" s="5">
        <f>1644194.23+822097.11</f>
        <v>2466291.34</v>
      </c>
      <c r="F20" s="5">
        <v>548064.74</v>
      </c>
      <c r="G20" s="5">
        <f t="shared" si="0"/>
        <v>54806474.169999994</v>
      </c>
      <c r="H20" s="20"/>
    </row>
    <row r="21" spans="1:13" x14ac:dyDescent="0.25">
      <c r="A21" s="17" t="s">
        <v>5</v>
      </c>
      <c r="B21" s="5">
        <v>43517933.649999999</v>
      </c>
      <c r="C21" s="5">
        <f>6976157.3+1328791.87</f>
        <v>8304949.1699999999</v>
      </c>
      <c r="D21" s="5">
        <v>10962532.9</v>
      </c>
      <c r="E21" s="5">
        <f>1993187.8+996593.91</f>
        <v>2989781.71</v>
      </c>
      <c r="F21" s="5">
        <v>664395.93000000005</v>
      </c>
      <c r="G21" s="5">
        <f t="shared" si="0"/>
        <v>66439593.359999999</v>
      </c>
    </row>
    <row r="22" spans="1:13" x14ac:dyDescent="0.25">
      <c r="A22" s="17" t="s">
        <v>6</v>
      </c>
      <c r="B22" s="5">
        <v>57394508.289999999</v>
      </c>
      <c r="C22" s="5">
        <f>9200646.37+1752504.07</f>
        <v>10953150.439999999</v>
      </c>
      <c r="D22" s="5">
        <v>14458158.58</v>
      </c>
      <c r="E22" s="5">
        <f>2628756.1+1314378.05</f>
        <v>3943134.1500000004</v>
      </c>
      <c r="F22" s="5">
        <v>876252.03</v>
      </c>
      <c r="G22" s="5">
        <f t="shared" si="0"/>
        <v>87625203.49000001</v>
      </c>
    </row>
    <row r="23" spans="1:13" x14ac:dyDescent="0.25">
      <c r="A23" s="17" t="s">
        <v>7</v>
      </c>
      <c r="B23" s="5">
        <v>93257459.409999996</v>
      </c>
      <c r="C23" s="5">
        <f>14949669.07+2847556.01</f>
        <v>17797225.079999998</v>
      </c>
      <c r="D23" s="5">
        <v>23492337.100000001</v>
      </c>
      <c r="E23" s="5">
        <f>4271334.02+2135667.01</f>
        <v>6407001.0299999993</v>
      </c>
      <c r="F23" s="5">
        <v>1423778.01</v>
      </c>
      <c r="G23" s="5">
        <f t="shared" si="0"/>
        <v>142377800.63</v>
      </c>
    </row>
    <row r="24" spans="1:13" x14ac:dyDescent="0.25">
      <c r="A24" s="17" t="s">
        <v>8</v>
      </c>
      <c r="B24" s="5">
        <v>85278598.569999993</v>
      </c>
      <c r="C24" s="5">
        <f>13670615.04+2603926.67</f>
        <v>16274541.709999999</v>
      </c>
      <c r="D24" s="5">
        <v>21482395.059999999</v>
      </c>
      <c r="E24" s="5">
        <f>3905890.01+1952945.01</f>
        <v>5858835.0199999996</v>
      </c>
      <c r="F24" s="5">
        <v>1301963.3400000001</v>
      </c>
      <c r="G24" s="5">
        <f t="shared" si="0"/>
        <v>130196333.69999999</v>
      </c>
    </row>
    <row r="25" spans="1:13" x14ac:dyDescent="0.25">
      <c r="A25" s="17" t="s">
        <v>11</v>
      </c>
      <c r="B25" s="5">
        <v>102385337.61</v>
      </c>
      <c r="C25" s="5">
        <f>16412916.72+3126269.85</f>
        <v>19539186.57</v>
      </c>
      <c r="D25" s="5">
        <v>25791726.27</v>
      </c>
      <c r="E25" s="5">
        <f>4689404.78+2344702.39</f>
        <v>7034107.1699999999</v>
      </c>
      <c r="F25" s="5">
        <v>1563134.91</v>
      </c>
      <c r="G25" s="5">
        <f t="shared" si="0"/>
        <v>156313492.53</v>
      </c>
    </row>
    <row r="26" spans="1:13" x14ac:dyDescent="0.25">
      <c r="A26" s="17" t="s">
        <v>9</v>
      </c>
      <c r="B26" s="5">
        <v>184779679.06</v>
      </c>
      <c r="C26" s="5">
        <f>29621169.93+5642127.6</f>
        <v>35263297.530000001</v>
      </c>
      <c r="D26" s="5">
        <v>46547552.740000002</v>
      </c>
      <c r="E26" s="5">
        <f>8463191.41+4231595.7</f>
        <v>12694787.109999999</v>
      </c>
      <c r="F26" s="5">
        <v>2821063.8</v>
      </c>
      <c r="G26" s="5">
        <f t="shared" si="0"/>
        <v>282106380.24000001</v>
      </c>
    </row>
    <row r="27" spans="1:13" x14ac:dyDescent="0.25">
      <c r="A27" s="17" t="s">
        <v>10</v>
      </c>
      <c r="B27" s="5">
        <v>249882230.36000001</v>
      </c>
      <c r="C27" s="5">
        <f>40057456.77+7629991.77</f>
        <v>47687448.540000007</v>
      </c>
      <c r="D27" s="5">
        <v>62947432.07</v>
      </c>
      <c r="E27" s="5">
        <f>11444987.65+5722493.82</f>
        <v>17167481.469999999</v>
      </c>
      <c r="F27" s="5">
        <v>3814995.89</v>
      </c>
      <c r="G27" s="5">
        <f t="shared" si="0"/>
        <v>381499588.33000004</v>
      </c>
    </row>
    <row r="28" spans="1:13" x14ac:dyDescent="0.25">
      <c r="A28" s="39" t="s">
        <v>24</v>
      </c>
      <c r="B28" s="40">
        <f>SUM(B16:B27)</f>
        <v>937159459.42999995</v>
      </c>
      <c r="C28" s="40">
        <f t="shared" ref="C28:E28" si="1">SUM(C16:C27)</f>
        <v>178847225.06999999</v>
      </c>
      <c r="D28" s="40">
        <f t="shared" si="1"/>
        <v>236078337.09999999</v>
      </c>
      <c r="E28" s="40">
        <f t="shared" si="1"/>
        <v>64385001.039999999</v>
      </c>
      <c r="F28" s="40">
        <f>SUM(F16:F27)</f>
        <v>14307778</v>
      </c>
      <c r="G28" s="41">
        <f>SUM(G16:G27)</f>
        <v>1430777800.6399999</v>
      </c>
    </row>
    <row r="29" spans="1:13" x14ac:dyDescent="0.25">
      <c r="F29" s="25"/>
    </row>
    <row r="35" spans="1:14" x14ac:dyDescent="0.25">
      <c r="F35" s="25" t="s">
        <v>26</v>
      </c>
    </row>
    <row r="36" spans="1:14" x14ac:dyDescent="0.25">
      <c r="A36" s="10">
        <v>2211</v>
      </c>
      <c r="B36" s="22" t="s">
        <v>17</v>
      </c>
      <c r="C36" s="22"/>
      <c r="D36" s="22"/>
      <c r="E36" s="23">
        <f>B28</f>
        <v>937159459.42999995</v>
      </c>
      <c r="F36" s="10">
        <v>1.65</v>
      </c>
      <c r="G36" s="23">
        <f>E36*F36</f>
        <v>1546313108.0594997</v>
      </c>
      <c r="I36" s="22"/>
      <c r="J36" s="22"/>
      <c r="K36" s="22"/>
      <c r="L36" s="22"/>
      <c r="M36" s="22"/>
      <c r="N36" s="22"/>
    </row>
    <row r="37" spans="1:14" x14ac:dyDescent="0.25">
      <c r="A37" s="9">
        <v>2212</v>
      </c>
      <c r="B37" s="3" t="s">
        <v>20</v>
      </c>
      <c r="C37" s="3"/>
      <c r="D37" s="3"/>
      <c r="E37" s="24">
        <f>C28</f>
        <v>178847225.06999999</v>
      </c>
      <c r="F37" s="9">
        <v>1.65</v>
      </c>
      <c r="G37" s="24">
        <f>E37*F37</f>
        <v>295097921.36549997</v>
      </c>
      <c r="I37" s="3"/>
      <c r="J37" s="3"/>
      <c r="K37" s="3"/>
      <c r="L37" s="3"/>
      <c r="M37" s="3"/>
      <c r="N37" s="3"/>
    </row>
    <row r="38" spans="1:14" x14ac:dyDescent="0.25">
      <c r="A38" s="9">
        <v>2236</v>
      </c>
      <c r="B38" s="3" t="s">
        <v>21</v>
      </c>
      <c r="C38" s="3"/>
      <c r="D38" s="3"/>
      <c r="E38" s="24">
        <f>D28</f>
        <v>236078337.09999999</v>
      </c>
      <c r="F38" s="9">
        <v>1.65</v>
      </c>
      <c r="G38" s="24">
        <f>E38*F38</f>
        <v>389529256.21499997</v>
      </c>
      <c r="I38" s="3"/>
      <c r="J38" s="3"/>
      <c r="K38" s="3"/>
      <c r="L38" s="3"/>
      <c r="M38" s="3"/>
      <c r="N38" s="3"/>
    </row>
    <row r="39" spans="1:14" x14ac:dyDescent="0.25">
      <c r="A39" s="9">
        <v>2247</v>
      </c>
      <c r="B39" s="3" t="s">
        <v>22</v>
      </c>
      <c r="C39" s="3"/>
      <c r="D39" s="3"/>
      <c r="E39" s="24">
        <f>E28</f>
        <v>64385001.039999999</v>
      </c>
      <c r="F39" s="9">
        <v>1.65</v>
      </c>
      <c r="G39" s="24">
        <f>E39*F39</f>
        <v>106235251.71599999</v>
      </c>
      <c r="I39" s="3"/>
      <c r="J39" s="3"/>
      <c r="K39" s="3"/>
      <c r="L39" s="3"/>
      <c r="M39" s="3"/>
      <c r="N39" s="3"/>
    </row>
    <row r="40" spans="1:14" x14ac:dyDescent="0.25">
      <c r="A40" s="9">
        <v>2275</v>
      </c>
      <c r="B40" s="3" t="s">
        <v>23</v>
      </c>
      <c r="C40" s="3"/>
      <c r="D40" s="3"/>
      <c r="E40" s="24">
        <f>F28</f>
        <v>14307778</v>
      </c>
      <c r="F40" s="9">
        <v>1.65</v>
      </c>
      <c r="G40" s="33">
        <f>E40*F40</f>
        <v>23607833.699999999</v>
      </c>
      <c r="I40" s="3"/>
      <c r="J40" s="3"/>
      <c r="K40" s="3"/>
      <c r="L40" s="3"/>
      <c r="M40" s="3"/>
      <c r="N40" s="3"/>
    </row>
    <row r="41" spans="1:14" x14ac:dyDescent="0.25">
      <c r="G41" s="42">
        <f>SUM(G36:G40)</f>
        <v>2360783371.0559998</v>
      </c>
    </row>
  </sheetData>
  <mergeCells count="10">
    <mergeCell ref="B10:N10"/>
    <mergeCell ref="B11:N11"/>
    <mergeCell ref="B12:N12"/>
    <mergeCell ref="B13:N13"/>
    <mergeCell ref="A3:F3"/>
    <mergeCell ref="A4:F4"/>
    <mergeCell ref="A5:F5"/>
    <mergeCell ref="A6:F6"/>
    <mergeCell ref="B8:C8"/>
    <mergeCell ref="B9:N9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topLeftCell="A4" workbookViewId="0">
      <selection activeCell="D21" sqref="D21"/>
    </sheetView>
  </sheetViews>
  <sheetFormatPr baseColWidth="10" defaultRowHeight="15" x14ac:dyDescent="0.25"/>
  <cols>
    <col min="1" max="1" width="10.28515625" customWidth="1"/>
    <col min="2" max="6" width="21.85546875" customWidth="1"/>
    <col min="7" max="7" width="13.85546875" customWidth="1"/>
    <col min="8" max="8" width="14.425781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3" spans="1:14" ht="15.75" x14ac:dyDescent="0.25">
      <c r="A3" s="104" t="s">
        <v>18</v>
      </c>
      <c r="B3" s="104"/>
      <c r="C3" s="104"/>
      <c r="D3" s="104"/>
      <c r="E3" s="104"/>
      <c r="F3" s="104"/>
      <c r="G3" s="15"/>
      <c r="H3" s="15"/>
      <c r="I3" s="15"/>
      <c r="J3" s="15"/>
      <c r="K3" s="15"/>
      <c r="L3" s="15"/>
      <c r="M3" s="15"/>
      <c r="N3" s="15"/>
    </row>
    <row r="4" spans="1:14" ht="15.75" x14ac:dyDescent="0.25">
      <c r="A4" s="104" t="s">
        <v>19</v>
      </c>
      <c r="B4" s="104"/>
      <c r="C4" s="104"/>
      <c r="D4" s="104"/>
      <c r="E4" s="104"/>
      <c r="F4" s="104"/>
      <c r="G4" s="15"/>
      <c r="H4" s="15"/>
      <c r="I4" s="15"/>
      <c r="J4" s="15"/>
      <c r="K4" s="15"/>
      <c r="L4" s="15"/>
      <c r="M4" s="15"/>
      <c r="N4" s="15"/>
    </row>
    <row r="5" spans="1:14" ht="15.75" x14ac:dyDescent="0.25">
      <c r="A5" s="104" t="s">
        <v>12</v>
      </c>
      <c r="B5" s="104"/>
      <c r="C5" s="104"/>
      <c r="D5" s="104"/>
      <c r="E5" s="104"/>
      <c r="F5" s="104"/>
      <c r="G5" s="15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16</v>
      </c>
      <c r="B6" s="104"/>
      <c r="C6" s="104"/>
      <c r="D6" s="104"/>
      <c r="E6" s="104"/>
      <c r="F6" s="104"/>
      <c r="G6" s="15"/>
      <c r="H6" s="15"/>
      <c r="I6" s="15"/>
      <c r="J6" s="15"/>
      <c r="K6" s="15"/>
      <c r="L6" s="15"/>
      <c r="M6" s="15"/>
      <c r="N6" s="15"/>
    </row>
    <row r="7" spans="1:14" ht="15.75" x14ac:dyDescent="0.25">
      <c r="A7" s="27"/>
      <c r="B7" s="27"/>
      <c r="C7" s="27"/>
      <c r="D7" s="27"/>
      <c r="E7" s="27"/>
      <c r="F7" s="27"/>
      <c r="G7" s="15"/>
      <c r="H7" s="15"/>
      <c r="I7" s="15"/>
      <c r="J7" s="15"/>
      <c r="K7" s="15"/>
      <c r="L7" s="15"/>
      <c r="M7" s="15"/>
      <c r="N7" s="15"/>
    </row>
    <row r="8" spans="1:14" ht="15.75" x14ac:dyDescent="0.25">
      <c r="A8" s="27" t="s">
        <v>13</v>
      </c>
      <c r="B8" s="104" t="s">
        <v>14</v>
      </c>
      <c r="C8" s="104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 s="11" customFormat="1" x14ac:dyDescent="0.25">
      <c r="A9" s="10">
        <v>2211</v>
      </c>
      <c r="B9" s="106" t="s">
        <v>17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x14ac:dyDescent="0.25">
      <c r="A10" s="9">
        <v>2212</v>
      </c>
      <c r="B10" s="105" t="s">
        <v>20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x14ac:dyDescent="0.25">
      <c r="A11" s="9">
        <v>2236</v>
      </c>
      <c r="B11" s="105" t="s">
        <v>21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x14ac:dyDescent="0.25">
      <c r="A12" s="9">
        <v>2247</v>
      </c>
      <c r="B12" s="105" t="s">
        <v>22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x14ac:dyDescent="0.25">
      <c r="A13" s="9">
        <v>2275</v>
      </c>
      <c r="B13" s="105" t="s">
        <v>23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4" ht="15.75" x14ac:dyDescent="0.25">
      <c r="A15" s="2" t="s">
        <v>15</v>
      </c>
      <c r="B15" s="2">
        <v>2211</v>
      </c>
      <c r="C15" s="2">
        <v>2212</v>
      </c>
      <c r="D15" s="2">
        <v>2236</v>
      </c>
      <c r="E15" s="2">
        <v>2247</v>
      </c>
      <c r="F15" s="2">
        <v>2275</v>
      </c>
      <c r="G15" s="2" t="s">
        <v>25</v>
      </c>
      <c r="H15" s="12"/>
      <c r="I15" s="12"/>
      <c r="J15" s="12"/>
      <c r="K15" s="12"/>
      <c r="L15" s="12"/>
      <c r="M15" s="12"/>
      <c r="N15" s="12"/>
    </row>
    <row r="16" spans="1:14" x14ac:dyDescent="0.25">
      <c r="A16" s="4" t="s">
        <v>0</v>
      </c>
      <c r="B16" s="5">
        <v>3691938.23</v>
      </c>
      <c r="C16" s="5">
        <f>591837.43+112730.94</f>
        <v>704568.37000000011</v>
      </c>
      <c r="D16" s="5">
        <v>930030.24</v>
      </c>
      <c r="E16" s="5">
        <f>169096.41+84548.2</f>
        <v>253644.61</v>
      </c>
      <c r="F16" s="5">
        <v>56365.47</v>
      </c>
      <c r="G16" s="5">
        <f>+B16+C16+D16+E16+F16</f>
        <v>5636546.9199999999</v>
      </c>
      <c r="H16" s="13"/>
      <c r="I16" s="13"/>
      <c r="J16" s="13"/>
      <c r="K16" s="13"/>
      <c r="L16" s="13"/>
      <c r="M16" s="13"/>
      <c r="N16" s="14"/>
    </row>
    <row r="17" spans="1:14" x14ac:dyDescent="0.25">
      <c r="A17" s="16" t="s">
        <v>1</v>
      </c>
      <c r="B17" s="5">
        <v>4576696.74</v>
      </c>
      <c r="C17" s="5">
        <f>733668.94+139746.47</f>
        <v>873415.40999999992</v>
      </c>
      <c r="D17" s="5">
        <v>1152908.3400000001</v>
      </c>
      <c r="E17" s="5">
        <f>209619.7+104809.85</f>
        <v>314429.55000000005</v>
      </c>
      <c r="F17" s="5">
        <v>69873.23</v>
      </c>
      <c r="G17" s="5">
        <f t="shared" ref="G17:G27" si="0">+B17+C17+D17+E17+F17</f>
        <v>6987323.2700000005</v>
      </c>
      <c r="H17" s="1"/>
      <c r="I17" s="1"/>
      <c r="J17" s="1"/>
      <c r="K17" s="1"/>
      <c r="L17" s="1"/>
      <c r="M17" s="1"/>
    </row>
    <row r="18" spans="1:14" x14ac:dyDescent="0.25">
      <c r="A18" s="16" t="s">
        <v>2</v>
      </c>
      <c r="B18" s="5">
        <v>5367275.1900000004</v>
      </c>
      <c r="C18" s="5">
        <f>860402.89+163886.27</f>
        <v>1024289.16</v>
      </c>
      <c r="D18" s="5">
        <v>1352061.69</v>
      </c>
      <c r="E18" s="5">
        <f>245829.4+122914.7</f>
        <v>368744.1</v>
      </c>
      <c r="F18" s="5">
        <v>81943.13</v>
      </c>
      <c r="G18" s="5">
        <f t="shared" si="0"/>
        <v>8194313.2700000005</v>
      </c>
      <c r="H18" s="1"/>
      <c r="I18" s="1"/>
      <c r="J18" s="1"/>
      <c r="K18" s="1"/>
      <c r="L18" s="1"/>
      <c r="M18" s="1"/>
    </row>
    <row r="19" spans="1:14" x14ac:dyDescent="0.25">
      <c r="A19" s="17" t="s">
        <v>3</v>
      </c>
      <c r="B19" s="5">
        <v>5184117.6500000004</v>
      </c>
      <c r="C19" s="5">
        <f>831041.76+158293.67</f>
        <v>989335.43</v>
      </c>
      <c r="D19" s="5">
        <v>1305922.77</v>
      </c>
      <c r="E19" s="5">
        <f>237440.5+118720.25</f>
        <v>356160.75</v>
      </c>
      <c r="F19" s="5">
        <v>79146.83</v>
      </c>
      <c r="G19" s="5">
        <f t="shared" si="0"/>
        <v>7914683.4299999997</v>
      </c>
    </row>
    <row r="20" spans="1:14" x14ac:dyDescent="0.25">
      <c r="A20" s="17" t="s">
        <v>4</v>
      </c>
      <c r="B20" s="5">
        <v>6502815.9400000004</v>
      </c>
      <c r="C20" s="5">
        <f>1042436.14+198559.27</f>
        <v>1240995.4099999999</v>
      </c>
      <c r="D20" s="5">
        <v>1638113.94</v>
      </c>
      <c r="E20" s="5">
        <f>297838.9+148919.45</f>
        <v>446758.35000000003</v>
      </c>
      <c r="F20" s="5">
        <v>99279.63</v>
      </c>
      <c r="G20" s="5">
        <f t="shared" si="0"/>
        <v>9927963.2700000014</v>
      </c>
      <c r="H20" s="20"/>
    </row>
    <row r="21" spans="1:14" x14ac:dyDescent="0.25">
      <c r="A21" s="17" t="s">
        <v>5</v>
      </c>
      <c r="B21" s="5">
        <v>7003840.9699999997</v>
      </c>
      <c r="C21" s="5">
        <f>1122753.13+213857.74</f>
        <v>1336610.8699999999</v>
      </c>
      <c r="D21" s="5">
        <v>1764326.35</v>
      </c>
      <c r="E21" s="5">
        <f>320786.61+160393.3</f>
        <v>481179.91</v>
      </c>
      <c r="F21" s="5">
        <v>106928.87</v>
      </c>
      <c r="G21" s="5">
        <f t="shared" si="0"/>
        <v>10692886.969999999</v>
      </c>
    </row>
    <row r="22" spans="1:14" x14ac:dyDescent="0.25">
      <c r="A22" s="17" t="s">
        <v>6</v>
      </c>
      <c r="B22" s="5">
        <v>7542989.2000000002</v>
      </c>
      <c r="C22" s="5">
        <f>1209181.47+230320.28</f>
        <v>1439501.75</v>
      </c>
      <c r="D22" s="5">
        <v>1900142.32</v>
      </c>
      <c r="E22" s="5">
        <f>345480.42+172740.21</f>
        <v>518220.63</v>
      </c>
      <c r="F22" s="5">
        <v>115160.14</v>
      </c>
      <c r="G22" s="5">
        <f t="shared" si="0"/>
        <v>11516014.040000001</v>
      </c>
    </row>
    <row r="23" spans="1:14" x14ac:dyDescent="0.25">
      <c r="A23" s="17" t="s">
        <v>7</v>
      </c>
      <c r="B23" s="5">
        <v>10699797.470000001</v>
      </c>
      <c r="C23" s="5">
        <f>1715234.71+326711.37</f>
        <v>2041946.08</v>
      </c>
      <c r="D23" s="5">
        <v>2695368.83</v>
      </c>
      <c r="E23" s="5">
        <f>490067.06+245033.53</f>
        <v>735100.59</v>
      </c>
      <c r="F23" s="5">
        <v>163355.69</v>
      </c>
      <c r="G23" s="5">
        <f t="shared" si="0"/>
        <v>16335568.66</v>
      </c>
    </row>
    <row r="24" spans="1:14" x14ac:dyDescent="0.25">
      <c r="A24" s="17" t="s">
        <v>8</v>
      </c>
      <c r="B24" s="5">
        <v>10520864.26</v>
      </c>
      <c r="C24" s="5">
        <f>1686550.76+321247.76</f>
        <v>2007798.52</v>
      </c>
      <c r="D24" s="5">
        <v>2650294.0499999998</v>
      </c>
      <c r="E24" s="5">
        <f>481871.65+240935.82</f>
        <v>722807.47</v>
      </c>
      <c r="F24" s="5">
        <v>160623.88</v>
      </c>
      <c r="G24" s="5">
        <f t="shared" si="0"/>
        <v>16062388.18</v>
      </c>
    </row>
    <row r="25" spans="1:14" x14ac:dyDescent="0.25">
      <c r="A25" s="17" t="s">
        <v>11</v>
      </c>
      <c r="B25" s="5">
        <v>9975575.2100000009</v>
      </c>
      <c r="C25" s="5">
        <f>1599138.01+304597.71</f>
        <v>1903735.72</v>
      </c>
      <c r="D25" s="5">
        <v>2512931.16</v>
      </c>
      <c r="E25" s="5">
        <f>456896.57+228448.29</f>
        <v>685344.86</v>
      </c>
      <c r="F25" s="5">
        <v>152298.85999999999</v>
      </c>
      <c r="G25" s="5">
        <f t="shared" si="0"/>
        <v>15229885.810000001</v>
      </c>
    </row>
    <row r="26" spans="1:14" x14ac:dyDescent="0.25">
      <c r="A26" s="17" t="s">
        <v>9</v>
      </c>
      <c r="B26" s="5">
        <v>14737163.98</v>
      </c>
      <c r="C26" s="5">
        <f>2362446.13+449989.74</f>
        <v>2812435.87</v>
      </c>
      <c r="D26" s="5">
        <v>3712415.35</v>
      </c>
      <c r="E26" s="5">
        <f>674984.61+337492.3</f>
        <v>1012476.9099999999</v>
      </c>
      <c r="F26" s="5">
        <v>224994.87</v>
      </c>
      <c r="G26" s="5">
        <f t="shared" si="0"/>
        <v>22499486.980000004</v>
      </c>
    </row>
    <row r="27" spans="1:14" x14ac:dyDescent="0.25">
      <c r="A27" s="17" t="s">
        <v>10</v>
      </c>
      <c r="B27" s="5">
        <v>15119316.33</v>
      </c>
      <c r="C27" s="5">
        <f>2423707.2+461658.51</f>
        <v>2885365.71</v>
      </c>
      <c r="D27" s="5">
        <v>3808682.74</v>
      </c>
      <c r="E27" s="5">
        <f>692487.77+346243.89</f>
        <v>1038731.66</v>
      </c>
      <c r="F27" s="5">
        <v>230829.26</v>
      </c>
      <c r="G27" s="5">
        <f t="shared" si="0"/>
        <v>23082925.700000003</v>
      </c>
    </row>
    <row r="28" spans="1:14" x14ac:dyDescent="0.25">
      <c r="A28" s="18" t="s">
        <v>24</v>
      </c>
      <c r="B28" s="19">
        <f>SUM(B16:B27)</f>
        <v>100922391.17</v>
      </c>
      <c r="C28" s="19">
        <f t="shared" ref="C28:E28" si="1">SUM(C16:C27)</f>
        <v>19259998.300000001</v>
      </c>
      <c r="D28" s="19">
        <f t="shared" si="1"/>
        <v>25423197.780000001</v>
      </c>
      <c r="E28" s="19">
        <f t="shared" si="1"/>
        <v>6933599.3900000006</v>
      </c>
      <c r="F28" s="19">
        <f>SUM(F16:F27)</f>
        <v>1540799.86</v>
      </c>
      <c r="G28" s="21">
        <f>SUM(G16:G27)</f>
        <v>154079986.5</v>
      </c>
    </row>
    <row r="29" spans="1:14" x14ac:dyDescent="0.25">
      <c r="F29" s="25"/>
    </row>
    <row r="30" spans="1:14" x14ac:dyDescent="0.25">
      <c r="A30" s="10">
        <v>2211</v>
      </c>
      <c r="B30" s="22" t="s">
        <v>17</v>
      </c>
      <c r="C30" s="22"/>
      <c r="D30" s="22"/>
      <c r="E30" s="23">
        <f>B28</f>
        <v>100922391.17</v>
      </c>
      <c r="F30" s="10" t="s">
        <v>26</v>
      </c>
      <c r="G30" s="10">
        <v>1.65</v>
      </c>
      <c r="H30" s="23">
        <f>E30*G30</f>
        <v>166521945.4305</v>
      </c>
      <c r="I30" s="22"/>
      <c r="J30" s="22"/>
      <c r="K30" s="22"/>
      <c r="L30" s="22"/>
      <c r="M30" s="22"/>
      <c r="N30" s="22"/>
    </row>
    <row r="31" spans="1:14" x14ac:dyDescent="0.25">
      <c r="A31" s="9">
        <v>2212</v>
      </c>
      <c r="B31" s="3" t="s">
        <v>20</v>
      </c>
      <c r="C31" s="3"/>
      <c r="D31" s="3"/>
      <c r="E31" s="24">
        <f>C28</f>
        <v>19259998.300000001</v>
      </c>
      <c r="F31" s="9" t="s">
        <v>26</v>
      </c>
      <c r="G31" s="9">
        <v>1.65</v>
      </c>
      <c r="H31" s="24">
        <f>E31*G31</f>
        <v>31778997.195</v>
      </c>
      <c r="I31" s="3"/>
      <c r="J31" s="3"/>
      <c r="K31" s="3"/>
      <c r="L31" s="3"/>
      <c r="M31" s="3"/>
      <c r="N31" s="3"/>
    </row>
    <row r="32" spans="1:14" x14ac:dyDescent="0.25">
      <c r="A32" s="9">
        <v>2236</v>
      </c>
      <c r="B32" s="3" t="s">
        <v>21</v>
      </c>
      <c r="C32" s="3"/>
      <c r="D32" s="3"/>
      <c r="E32" s="24">
        <f>D28</f>
        <v>25423197.780000001</v>
      </c>
      <c r="F32" s="9" t="s">
        <v>26</v>
      </c>
      <c r="G32" s="9">
        <v>1.65</v>
      </c>
      <c r="H32" s="24">
        <f>E32*G32</f>
        <v>41948276.336999997</v>
      </c>
      <c r="I32" s="3"/>
      <c r="J32" s="3"/>
      <c r="K32" s="3"/>
      <c r="L32" s="3"/>
      <c r="M32" s="3"/>
      <c r="N32" s="3"/>
    </row>
    <row r="33" spans="1:14" x14ac:dyDescent="0.25">
      <c r="A33" s="9">
        <v>2247</v>
      </c>
      <c r="B33" s="3" t="s">
        <v>22</v>
      </c>
      <c r="C33" s="3"/>
      <c r="D33" s="3"/>
      <c r="E33" s="24">
        <f>E28</f>
        <v>6933599.3900000006</v>
      </c>
      <c r="F33" s="9" t="s">
        <v>26</v>
      </c>
      <c r="G33" s="9">
        <v>1.65</v>
      </c>
      <c r="H33" s="24">
        <f>E33*G33</f>
        <v>11440438.9935</v>
      </c>
      <c r="I33" s="3"/>
      <c r="J33" s="3"/>
      <c r="K33" s="3"/>
      <c r="L33" s="3"/>
      <c r="M33" s="3"/>
      <c r="N33" s="3"/>
    </row>
    <row r="34" spans="1:14" x14ac:dyDescent="0.25">
      <c r="A34" s="9">
        <v>2275</v>
      </c>
      <c r="B34" s="3" t="s">
        <v>23</v>
      </c>
      <c r="C34" s="3"/>
      <c r="D34" s="3"/>
      <c r="E34" s="24">
        <f>F28</f>
        <v>1540799.86</v>
      </c>
      <c r="F34" s="9" t="s">
        <v>26</v>
      </c>
      <c r="G34" s="9">
        <v>1.65</v>
      </c>
      <c r="H34" s="33">
        <f>E34*G34</f>
        <v>2542319.7689999999</v>
      </c>
      <c r="I34" s="3"/>
      <c r="J34" s="3"/>
      <c r="K34" s="3"/>
      <c r="L34" s="3"/>
      <c r="M34" s="3"/>
      <c r="N34" s="3"/>
    </row>
    <row r="35" spans="1:14" x14ac:dyDescent="0.25">
      <c r="H35" s="36">
        <f>SUM(H30:H34)</f>
        <v>254231977.72499996</v>
      </c>
    </row>
  </sheetData>
  <mergeCells count="10">
    <mergeCell ref="B10:N10"/>
    <mergeCell ref="B11:N11"/>
    <mergeCell ref="B12:N12"/>
    <mergeCell ref="B13:N13"/>
    <mergeCell ref="A3:F3"/>
    <mergeCell ref="A4:F4"/>
    <mergeCell ref="A5:F5"/>
    <mergeCell ref="A6:F6"/>
    <mergeCell ref="B8:C8"/>
    <mergeCell ref="B9:N9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workbookViewId="0">
      <selection activeCell="I12" sqref="I12"/>
    </sheetView>
  </sheetViews>
  <sheetFormatPr baseColWidth="10" defaultRowHeight="15" x14ac:dyDescent="0.25"/>
  <cols>
    <col min="1" max="12" width="12" customWidth="1"/>
    <col min="13" max="13" width="10.5703125" customWidth="1"/>
    <col min="14" max="14" width="10.7109375" customWidth="1"/>
    <col min="15" max="15" width="10.5703125" customWidth="1"/>
  </cols>
  <sheetData>
    <row r="3" spans="1:15" ht="15.75" x14ac:dyDescent="0.25">
      <c r="A3" s="104" t="s">
        <v>18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5"/>
      <c r="N3" s="15"/>
      <c r="O3" s="15"/>
    </row>
    <row r="4" spans="1:15" ht="15.75" x14ac:dyDescent="0.25">
      <c r="A4" s="104" t="s">
        <v>19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5"/>
      <c r="N4" s="15"/>
      <c r="O4" s="15"/>
    </row>
    <row r="5" spans="1:15" ht="15.75" x14ac:dyDescent="0.25">
      <c r="A5" s="104" t="s">
        <v>12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5"/>
      <c r="N5" s="15"/>
      <c r="O5" s="15"/>
    </row>
    <row r="6" spans="1:15" ht="15.75" x14ac:dyDescent="0.25">
      <c r="A6" s="104" t="s">
        <v>42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5"/>
      <c r="N6" s="15"/>
      <c r="O6" s="15"/>
    </row>
    <row r="7" spans="1:15" ht="15.75" x14ac:dyDescent="0.25">
      <c r="A7" s="27"/>
      <c r="B7" s="27"/>
      <c r="C7" s="27"/>
      <c r="D7" s="27"/>
      <c r="E7" s="27"/>
      <c r="F7" s="27"/>
      <c r="G7" s="27"/>
      <c r="H7" s="15"/>
      <c r="I7" s="15"/>
      <c r="J7" s="15"/>
      <c r="K7" s="15"/>
      <c r="L7" s="15"/>
      <c r="M7" s="15"/>
      <c r="N7" s="15"/>
      <c r="O7" s="15"/>
    </row>
    <row r="8" spans="1:15" ht="15.75" x14ac:dyDescent="0.25">
      <c r="B8" s="27" t="s">
        <v>13</v>
      </c>
      <c r="C8" s="104" t="s">
        <v>14</v>
      </c>
      <c r="D8" s="104"/>
      <c r="E8" s="27" t="s">
        <v>31</v>
      </c>
      <c r="F8" s="27" t="s">
        <v>38</v>
      </c>
      <c r="G8" s="27" t="s">
        <v>37</v>
      </c>
      <c r="H8" s="9"/>
      <c r="I8" s="9"/>
      <c r="J8" s="9"/>
      <c r="K8" s="9"/>
      <c r="L8" s="9"/>
      <c r="M8" s="9"/>
      <c r="N8" s="9"/>
    </row>
    <row r="9" spans="1:15" s="11" customFormat="1" x14ac:dyDescent="0.25">
      <c r="B9" s="10">
        <v>2211</v>
      </c>
      <c r="C9" s="22" t="s">
        <v>17</v>
      </c>
      <c r="D9" s="22"/>
      <c r="E9" s="34">
        <v>8.0000000000000002E-3</v>
      </c>
      <c r="F9" s="23">
        <v>30053893.960000001</v>
      </c>
      <c r="G9" s="23">
        <f>F9*E9</f>
        <v>240431.15168000001</v>
      </c>
      <c r="H9" s="22"/>
      <c r="I9" s="22"/>
      <c r="J9" s="22"/>
      <c r="K9" s="22"/>
      <c r="L9" s="22"/>
      <c r="M9" s="22"/>
      <c r="N9" s="22"/>
      <c r="O9" s="22"/>
    </row>
    <row r="10" spans="1:15" x14ac:dyDescent="0.25">
      <c r="B10" s="9">
        <v>2212</v>
      </c>
      <c r="C10" s="3" t="s">
        <v>20</v>
      </c>
      <c r="D10" s="3"/>
      <c r="E10" s="35">
        <v>1.2500000000000001E-2</v>
      </c>
      <c r="F10" s="24">
        <v>5694284.2199999997</v>
      </c>
      <c r="G10" s="23">
        <f t="shared" ref="G10:G13" si="0">F10*E10</f>
        <v>71178.552750000003</v>
      </c>
      <c r="H10" s="3"/>
      <c r="I10" s="3"/>
      <c r="J10" s="3"/>
      <c r="K10" s="3"/>
      <c r="L10" s="3"/>
      <c r="M10" s="3"/>
      <c r="N10" s="3"/>
      <c r="O10" s="3"/>
    </row>
    <row r="11" spans="1:15" x14ac:dyDescent="0.25">
      <c r="B11" s="9">
        <v>2236</v>
      </c>
      <c r="C11" s="3" t="s">
        <v>21</v>
      </c>
      <c r="D11" s="3"/>
      <c r="E11" s="35">
        <v>0.01</v>
      </c>
      <c r="F11" s="24">
        <v>7562064.8399999999</v>
      </c>
      <c r="G11" s="23">
        <f t="shared" si="0"/>
        <v>75620.648400000005</v>
      </c>
      <c r="H11" s="3"/>
      <c r="I11" s="3"/>
      <c r="J11" s="3"/>
      <c r="K11" s="3"/>
      <c r="L11" s="3"/>
      <c r="M11" s="3"/>
      <c r="N11" s="3"/>
      <c r="O11" s="3"/>
    </row>
    <row r="12" spans="1:15" x14ac:dyDescent="0.25">
      <c r="B12" s="9">
        <v>2247</v>
      </c>
      <c r="C12" s="3" t="s">
        <v>22</v>
      </c>
      <c r="D12" s="3"/>
      <c r="E12" s="35">
        <v>8.9999999999999993E-3</v>
      </c>
      <c r="F12" s="24">
        <v>2031081.44</v>
      </c>
      <c r="G12" s="23">
        <f t="shared" si="0"/>
        <v>18279.732959999998</v>
      </c>
      <c r="H12" s="3"/>
      <c r="I12" s="3"/>
      <c r="J12" s="3"/>
      <c r="K12" s="3"/>
      <c r="L12" s="3"/>
      <c r="M12" s="3"/>
      <c r="N12" s="3"/>
      <c r="O12" s="3"/>
    </row>
    <row r="13" spans="1:15" x14ac:dyDescent="0.25">
      <c r="B13" s="9">
        <v>2275</v>
      </c>
      <c r="C13" s="3" t="s">
        <v>23</v>
      </c>
      <c r="D13" s="3"/>
      <c r="E13" s="35">
        <v>0.02</v>
      </c>
      <c r="F13" s="33">
        <v>468153.74</v>
      </c>
      <c r="G13" s="23">
        <f t="shared" si="0"/>
        <v>9363.0748000000003</v>
      </c>
      <c r="H13" s="3"/>
      <c r="I13" s="3"/>
      <c r="J13" s="3"/>
      <c r="K13" s="3"/>
      <c r="L13" s="3"/>
      <c r="M13" s="3"/>
      <c r="N13" s="3"/>
      <c r="O13" s="3"/>
    </row>
    <row r="14" spans="1:15" x14ac:dyDescent="0.25">
      <c r="B14" s="9"/>
      <c r="C14" s="3"/>
      <c r="D14" s="3"/>
      <c r="E14" s="29"/>
      <c r="F14" s="24">
        <f>SUM(F9:F13)</f>
        <v>45809478.199999996</v>
      </c>
      <c r="G14" s="2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5.75" x14ac:dyDescent="0.25">
      <c r="A16" s="30">
        <v>42005</v>
      </c>
      <c r="B16" s="30">
        <v>42036</v>
      </c>
      <c r="C16" s="30">
        <v>42064</v>
      </c>
      <c r="D16" s="30">
        <v>42095</v>
      </c>
      <c r="E16" s="30">
        <v>42125</v>
      </c>
      <c r="F16" s="30">
        <v>42156</v>
      </c>
      <c r="G16" s="30">
        <v>42186</v>
      </c>
      <c r="H16" s="30">
        <v>42217</v>
      </c>
      <c r="I16" s="30">
        <v>42248</v>
      </c>
      <c r="J16" s="30">
        <v>42278</v>
      </c>
      <c r="K16" s="30">
        <v>42309</v>
      </c>
      <c r="L16" s="30">
        <v>42339</v>
      </c>
      <c r="M16" s="12"/>
      <c r="N16" s="12"/>
      <c r="O16" s="12"/>
    </row>
    <row r="17" spans="1:15" x14ac:dyDescent="0.25">
      <c r="A17" s="5">
        <v>2152619.0699999998</v>
      </c>
      <c r="B17" s="31">
        <v>2664850.9300000002</v>
      </c>
      <c r="C17" s="5">
        <v>3121817.7</v>
      </c>
      <c r="D17" s="5">
        <v>3093143.14</v>
      </c>
      <c r="E17" s="5">
        <v>3508868.79</v>
      </c>
      <c r="F17" s="5">
        <v>3545323.26</v>
      </c>
      <c r="G17" s="5">
        <v>3438293.66</v>
      </c>
      <c r="H17" s="5">
        <v>3586776.75</v>
      </c>
      <c r="I17" s="5">
        <v>3863214.54</v>
      </c>
      <c r="J17" s="5">
        <v>4951739.8600000003</v>
      </c>
      <c r="K17" s="5">
        <v>6130894.6600000001</v>
      </c>
      <c r="L17" s="5">
        <v>5751935.8399999999</v>
      </c>
      <c r="M17" s="13"/>
      <c r="N17" s="13"/>
      <c r="O17" s="14"/>
    </row>
    <row r="18" spans="1:15" x14ac:dyDescent="0.25">
      <c r="G18" s="25"/>
    </row>
    <row r="19" spans="1:15" x14ac:dyDescent="0.25">
      <c r="A19" s="10" t="s">
        <v>36</v>
      </c>
      <c r="B19" s="32">
        <f>SUM(A17:L17)</f>
        <v>45809478.200000003</v>
      </c>
      <c r="C19" s="22"/>
      <c r="D19" s="22"/>
      <c r="E19" s="22"/>
      <c r="F19" s="23"/>
      <c r="G19" s="10"/>
      <c r="H19" s="10"/>
      <c r="I19" s="23"/>
      <c r="J19" s="22"/>
      <c r="K19" s="22"/>
      <c r="L19" s="22"/>
      <c r="M19" s="22"/>
      <c r="N19" s="22"/>
      <c r="O19" s="22"/>
    </row>
    <row r="20" spans="1:15" x14ac:dyDescent="0.25">
      <c r="A20" s="9"/>
      <c r="B20" s="9"/>
      <c r="C20" s="3"/>
      <c r="D20" s="3"/>
      <c r="E20" s="3"/>
      <c r="F20" s="24"/>
      <c r="G20" s="9"/>
      <c r="H20" s="9"/>
      <c r="I20" s="24"/>
      <c r="J20" s="3"/>
      <c r="K20" s="3"/>
      <c r="L20" s="3"/>
      <c r="M20" s="3"/>
      <c r="N20" s="3"/>
      <c r="O20" s="3"/>
    </row>
    <row r="21" spans="1:15" x14ac:dyDescent="0.25">
      <c r="A21" s="9"/>
      <c r="B21" s="9"/>
      <c r="C21" s="3"/>
      <c r="D21" s="3"/>
      <c r="E21" s="3"/>
      <c r="F21" s="24"/>
      <c r="G21" s="9"/>
      <c r="H21" s="9"/>
      <c r="I21" s="24"/>
      <c r="J21" s="3"/>
      <c r="K21" s="3"/>
      <c r="L21" s="3"/>
      <c r="M21" s="3"/>
      <c r="N21" s="3"/>
      <c r="O21" s="3"/>
    </row>
    <row r="22" spans="1:15" x14ac:dyDescent="0.25">
      <c r="A22" s="9"/>
      <c r="B22" s="9"/>
      <c r="C22" s="3"/>
      <c r="D22" s="3"/>
      <c r="E22" s="3"/>
      <c r="F22" s="24"/>
      <c r="G22" s="9"/>
      <c r="H22" s="9"/>
      <c r="I22" s="24"/>
      <c r="J22" s="3"/>
      <c r="K22" s="3"/>
      <c r="L22" s="3"/>
      <c r="M22" s="3"/>
      <c r="N22" s="3"/>
      <c r="O22" s="3"/>
    </row>
    <row r="23" spans="1:15" x14ac:dyDescent="0.25">
      <c r="A23" s="9"/>
      <c r="B23" s="9"/>
      <c r="C23" s="3"/>
      <c r="D23" s="3"/>
      <c r="E23" s="3"/>
      <c r="F23" s="24"/>
      <c r="G23" s="9"/>
      <c r="H23" s="9"/>
      <c r="I23" s="24"/>
      <c r="J23" s="3"/>
      <c r="K23" s="3"/>
      <c r="L23" s="3"/>
      <c r="M23" s="3"/>
      <c r="N23" s="3"/>
      <c r="O23" s="3"/>
    </row>
  </sheetData>
  <mergeCells count="5">
    <mergeCell ref="A3:L3"/>
    <mergeCell ref="A4:L4"/>
    <mergeCell ref="A5:L5"/>
    <mergeCell ref="A6:L6"/>
    <mergeCell ref="C8:D8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topLeftCell="A7" workbookViewId="0">
      <selection activeCell="H19" sqref="H19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114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95"/>
      <c r="B9" s="95"/>
      <c r="C9" s="95"/>
      <c r="D9" s="95"/>
      <c r="E9" s="95"/>
      <c r="F9" s="87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95" t="s">
        <v>13</v>
      </c>
      <c r="B10" s="104" t="s">
        <v>14</v>
      </c>
      <c r="C10" s="104"/>
      <c r="D10" s="9"/>
      <c r="E10" s="9"/>
      <c r="F10" s="88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 t="s">
        <v>115</v>
      </c>
      <c r="B11" s="22" t="s">
        <v>17</v>
      </c>
      <c r="C11" s="22"/>
      <c r="D11" s="22"/>
      <c r="E11" s="22"/>
      <c r="F11" s="81">
        <f>+B19*B17</f>
        <v>50652921.980591998</v>
      </c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 t="s">
        <v>116</v>
      </c>
      <c r="B12" s="3" t="s">
        <v>20</v>
      </c>
      <c r="C12" s="3"/>
      <c r="D12" s="3"/>
      <c r="E12" s="3"/>
      <c r="F12" s="82">
        <f>+C19*C17</f>
        <v>41155499.109230995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 t="s">
        <v>117</v>
      </c>
      <c r="B13" s="3" t="s">
        <v>21</v>
      </c>
      <c r="C13" s="3"/>
      <c r="D13" s="3"/>
      <c r="E13" s="3"/>
      <c r="F13" s="82">
        <f>+D19*D17</f>
        <v>40451986.303944997</v>
      </c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 t="s">
        <v>118</v>
      </c>
      <c r="B14" s="3" t="s">
        <v>22</v>
      </c>
      <c r="C14" s="3"/>
      <c r="D14" s="3"/>
      <c r="E14" s="3"/>
      <c r="F14" s="82">
        <f>+E19*E17</f>
        <v>25326460.990296002</v>
      </c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 t="s">
        <v>119</v>
      </c>
      <c r="B15" s="3" t="s">
        <v>23</v>
      </c>
      <c r="C15" s="3"/>
      <c r="D15" s="3"/>
      <c r="E15" s="3"/>
      <c r="F15" s="82">
        <f>+F19*F17</f>
        <v>25326460.990295995</v>
      </c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89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80">
        <v>0.01</v>
      </c>
      <c r="C17" s="29">
        <v>2.2499999999999999E-2</v>
      </c>
      <c r="D17" s="29">
        <v>1.15E-2</v>
      </c>
      <c r="E17" s="80">
        <v>0.01</v>
      </c>
      <c r="F17" s="29">
        <v>2.2499999999999999E-2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 t="s">
        <v>115</v>
      </c>
      <c r="C18" s="2" t="s">
        <v>116</v>
      </c>
      <c r="D18" s="2" t="s">
        <v>117</v>
      </c>
      <c r="E18" s="2" t="s">
        <v>118</v>
      </c>
      <c r="F18" s="2" t="s">
        <v>119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4</v>
      </c>
      <c r="B19" s="5">
        <f>+'05-2021  '!F4</f>
        <v>5065292198.0591993</v>
      </c>
      <c r="C19" s="5">
        <f>+'05-2021  '!F5+'05-2021  '!F6</f>
        <v>1829133293.7435999</v>
      </c>
      <c r="D19" s="5">
        <f>+'05-2021  '!F7</f>
        <v>3517564026.4299998</v>
      </c>
      <c r="E19" s="5">
        <f>+'05-2021  '!F8+'05-2021  '!F9</f>
        <v>2532646099.0296001</v>
      </c>
      <c r="F19" s="5">
        <f>+'05-2021  '!F10</f>
        <v>1125620488.4575999</v>
      </c>
      <c r="G19" s="5">
        <f t="shared" ref="G19" si="0">+B19+C19+D19+E19+F19</f>
        <v>14070256105.719999</v>
      </c>
    </row>
    <row r="20" spans="1:14" x14ac:dyDescent="0.25">
      <c r="A20" s="39" t="s">
        <v>24</v>
      </c>
      <c r="B20" s="40">
        <f t="shared" ref="B20:G20" si="1">SUM(B19:B19)</f>
        <v>5065292198.0591993</v>
      </c>
      <c r="C20" s="40">
        <f t="shared" si="1"/>
        <v>1829133293.7435999</v>
      </c>
      <c r="D20" s="40">
        <f t="shared" si="1"/>
        <v>3517564026.4299998</v>
      </c>
      <c r="E20" s="40">
        <f t="shared" si="1"/>
        <v>2532646099.0296001</v>
      </c>
      <c r="F20" s="40">
        <f t="shared" si="1"/>
        <v>1125620488.4575999</v>
      </c>
      <c r="G20" s="40">
        <f t="shared" si="1"/>
        <v>14070256105.719999</v>
      </c>
    </row>
    <row r="21" spans="1:14" x14ac:dyDescent="0.25">
      <c r="F21" s="25"/>
    </row>
    <row r="23" spans="1:14" x14ac:dyDescent="0.25">
      <c r="B23" s="36">
        <f>+F11</f>
        <v>50652921.980591998</v>
      </c>
      <c r="C23" s="36">
        <f>+F12</f>
        <v>41155499.109230995</v>
      </c>
      <c r="D23" s="36">
        <f>+F13</f>
        <v>40451986.303944997</v>
      </c>
      <c r="E23" s="36">
        <f>+E19*E17</f>
        <v>25326460.990296002</v>
      </c>
      <c r="F23" s="36">
        <f>+F19*F17</f>
        <v>25326460.990295995</v>
      </c>
      <c r="G23" s="36">
        <f>SUM(B23:F23)</f>
        <v>182913329.37436</v>
      </c>
    </row>
    <row r="25" spans="1:14" x14ac:dyDescent="0.25">
      <c r="F25" s="91" t="s">
        <v>110</v>
      </c>
      <c r="G25" s="36">
        <f>+G23*5%</f>
        <v>9145666.4687179998</v>
      </c>
      <c r="H25" s="90">
        <v>0.05</v>
      </c>
    </row>
    <row r="27" spans="1:14" x14ac:dyDescent="0.25">
      <c r="F27" s="92" t="s">
        <v>111</v>
      </c>
      <c r="G27" s="93">
        <f>+G23-G25</f>
        <v>173767662.905642</v>
      </c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workbookViewId="0">
      <selection activeCell="K12" sqref="K12"/>
    </sheetView>
  </sheetViews>
  <sheetFormatPr baseColWidth="10" defaultRowHeight="15" x14ac:dyDescent="0.25"/>
  <cols>
    <col min="1" max="12" width="12.140625" customWidth="1"/>
    <col min="13" max="13" width="10.5703125" customWidth="1"/>
    <col min="14" max="14" width="10.7109375" customWidth="1"/>
    <col min="15" max="15" width="10.5703125" customWidth="1"/>
  </cols>
  <sheetData>
    <row r="3" spans="1:15" ht="15.75" x14ac:dyDescent="0.25">
      <c r="A3" s="104" t="s">
        <v>18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5"/>
      <c r="N3" s="15"/>
      <c r="O3" s="15"/>
    </row>
    <row r="4" spans="1:15" ht="15.75" x14ac:dyDescent="0.25">
      <c r="A4" s="104" t="s">
        <v>19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5"/>
      <c r="N4" s="15"/>
      <c r="O4" s="15"/>
    </row>
    <row r="5" spans="1:15" ht="15.75" x14ac:dyDescent="0.25">
      <c r="A5" s="104" t="s">
        <v>12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5"/>
      <c r="N5" s="15"/>
      <c r="O5" s="15"/>
    </row>
    <row r="6" spans="1:15" ht="15.75" x14ac:dyDescent="0.25">
      <c r="A6" s="104" t="s">
        <v>41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5"/>
      <c r="N6" s="15"/>
      <c r="O6" s="15"/>
    </row>
    <row r="7" spans="1:15" ht="15.75" x14ac:dyDescent="0.25">
      <c r="A7" s="27"/>
      <c r="B7" s="27"/>
      <c r="C7" s="27"/>
      <c r="D7" s="27"/>
      <c r="E7" s="27"/>
      <c r="F7" s="27"/>
      <c r="G7" s="27"/>
      <c r="H7" s="15"/>
      <c r="I7" s="15"/>
      <c r="J7" s="15"/>
      <c r="K7" s="15"/>
      <c r="L7" s="15"/>
      <c r="M7" s="15"/>
      <c r="N7" s="15"/>
      <c r="O7" s="15"/>
    </row>
    <row r="8" spans="1:15" ht="15.75" x14ac:dyDescent="0.25">
      <c r="B8" s="27" t="s">
        <v>13</v>
      </c>
      <c r="C8" s="104" t="s">
        <v>14</v>
      </c>
      <c r="D8" s="104"/>
      <c r="E8" s="27" t="s">
        <v>31</v>
      </c>
      <c r="F8" s="27" t="s">
        <v>38</v>
      </c>
      <c r="G8" s="27" t="s">
        <v>37</v>
      </c>
      <c r="H8" s="9"/>
      <c r="I8" s="9"/>
      <c r="J8" s="9"/>
      <c r="K8" s="9"/>
      <c r="L8" s="9"/>
      <c r="M8" s="9"/>
      <c r="N8" s="9"/>
    </row>
    <row r="9" spans="1:15" s="11" customFormat="1" x14ac:dyDescent="0.25">
      <c r="B9" s="10">
        <v>2211</v>
      </c>
      <c r="C9" s="22" t="s">
        <v>28</v>
      </c>
      <c r="D9" s="22"/>
      <c r="E9" s="28">
        <v>3.0000000000000001E-3</v>
      </c>
      <c r="F9" s="23">
        <v>378618.32</v>
      </c>
      <c r="G9" s="23">
        <f>F9*E9</f>
        <v>1135.8549600000001</v>
      </c>
      <c r="H9" s="22"/>
      <c r="I9" s="22"/>
      <c r="J9" s="22"/>
      <c r="K9" s="22"/>
      <c r="L9" s="22"/>
      <c r="M9" s="22"/>
      <c r="N9" s="22"/>
      <c r="O9" s="22"/>
    </row>
    <row r="10" spans="1:15" x14ac:dyDescent="0.25">
      <c r="B10" s="9">
        <v>2212</v>
      </c>
      <c r="C10" s="3" t="s">
        <v>29</v>
      </c>
      <c r="D10" s="3"/>
      <c r="E10" s="29">
        <v>8.0000000000000002E-3</v>
      </c>
      <c r="F10" s="23">
        <v>8182538.0800000001</v>
      </c>
      <c r="G10" s="23">
        <f t="shared" ref="G10:G15" si="0">F10*E10</f>
        <v>65460.304640000002</v>
      </c>
      <c r="H10" s="3"/>
      <c r="I10" s="3"/>
      <c r="J10" s="3"/>
      <c r="K10" s="3"/>
      <c r="L10" s="3"/>
      <c r="M10" s="3"/>
      <c r="N10" s="3"/>
      <c r="O10" s="3"/>
    </row>
    <row r="11" spans="1:15" x14ac:dyDescent="0.25">
      <c r="B11" s="9">
        <v>2214</v>
      </c>
      <c r="C11" s="3" t="s">
        <v>30</v>
      </c>
      <c r="D11" s="3"/>
      <c r="E11" s="29">
        <v>6.0000000000000001E-3</v>
      </c>
      <c r="F11" s="23">
        <v>2029762.29</v>
      </c>
      <c r="G11" s="23">
        <f t="shared" si="0"/>
        <v>12178.57374</v>
      </c>
      <c r="H11" s="3"/>
      <c r="I11" s="3"/>
      <c r="J11" s="3"/>
      <c r="K11" s="3"/>
      <c r="L11" s="3"/>
      <c r="M11" s="3"/>
      <c r="N11" s="3"/>
      <c r="O11" s="3"/>
    </row>
    <row r="12" spans="1:15" x14ac:dyDescent="0.25">
      <c r="B12" s="9">
        <v>2215</v>
      </c>
      <c r="C12" s="3" t="s">
        <v>32</v>
      </c>
      <c r="D12" s="3"/>
      <c r="E12" s="29">
        <v>8.0000000000000002E-3</v>
      </c>
      <c r="F12" s="23">
        <v>1495393.65</v>
      </c>
      <c r="G12" s="23">
        <f t="shared" si="0"/>
        <v>11963.1492</v>
      </c>
      <c r="H12" s="3"/>
      <c r="I12" s="3"/>
      <c r="J12" s="3"/>
      <c r="K12" s="3"/>
      <c r="L12" s="3"/>
      <c r="M12" s="3"/>
      <c r="N12" s="3"/>
      <c r="O12" s="3"/>
    </row>
    <row r="13" spans="1:15" x14ac:dyDescent="0.25">
      <c r="B13" s="9">
        <v>2216</v>
      </c>
      <c r="C13" s="3" t="s">
        <v>33</v>
      </c>
      <c r="D13" s="3"/>
      <c r="E13" s="29">
        <v>6.0000000000000001E-3</v>
      </c>
      <c r="F13" s="23">
        <v>250057.66</v>
      </c>
      <c r="G13" s="23">
        <f t="shared" si="0"/>
        <v>1500.3459600000001</v>
      </c>
      <c r="H13" s="3"/>
      <c r="I13" s="3"/>
      <c r="J13" s="3"/>
      <c r="K13" s="3"/>
      <c r="L13" s="3"/>
      <c r="M13" s="3"/>
      <c r="N13" s="3"/>
      <c r="O13" s="3"/>
    </row>
    <row r="14" spans="1:15" x14ac:dyDescent="0.25">
      <c r="B14" s="9">
        <v>2254</v>
      </c>
      <c r="C14" s="3" t="s">
        <v>34</v>
      </c>
      <c r="D14" s="3"/>
      <c r="E14" s="29">
        <v>8.9999999999999993E-3</v>
      </c>
      <c r="F14" s="23">
        <v>178311.3</v>
      </c>
      <c r="G14" s="23">
        <f t="shared" si="0"/>
        <v>1604.8016999999998</v>
      </c>
      <c r="H14" s="3"/>
      <c r="I14" s="3"/>
      <c r="J14" s="3"/>
      <c r="K14" s="3"/>
      <c r="L14" s="3"/>
      <c r="M14" s="3"/>
      <c r="N14" s="3"/>
      <c r="O14" s="3"/>
    </row>
    <row r="15" spans="1:15" x14ac:dyDescent="0.25">
      <c r="B15" s="9">
        <v>228</v>
      </c>
      <c r="C15" s="3" t="s">
        <v>35</v>
      </c>
      <c r="D15" s="3"/>
      <c r="E15" s="29">
        <v>3.0000000000000001E-3</v>
      </c>
      <c r="F15" s="33">
        <v>186635.95</v>
      </c>
      <c r="G15" s="23">
        <f t="shared" si="0"/>
        <v>559.90785000000005</v>
      </c>
      <c r="H15" s="3"/>
      <c r="I15" s="3"/>
      <c r="J15" s="3"/>
      <c r="K15" s="3"/>
      <c r="L15" s="3"/>
      <c r="M15" s="3"/>
      <c r="N15" s="3"/>
      <c r="O15" s="3"/>
    </row>
    <row r="16" spans="1:15" x14ac:dyDescent="0.25">
      <c r="B16" s="9"/>
      <c r="C16" s="3"/>
      <c r="D16" s="3"/>
      <c r="E16" s="29"/>
      <c r="F16" s="24">
        <f>SUM(F9:F15)</f>
        <v>12701317.250000002</v>
      </c>
      <c r="G16" s="2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5" ht="15.75" x14ac:dyDescent="0.25">
      <c r="A18" s="30">
        <v>41640</v>
      </c>
      <c r="B18" s="30">
        <v>41671</v>
      </c>
      <c r="C18" s="30">
        <v>41699</v>
      </c>
      <c r="D18" s="30">
        <v>41730</v>
      </c>
      <c r="E18" s="30">
        <v>41760</v>
      </c>
      <c r="F18" s="30">
        <v>41791</v>
      </c>
      <c r="G18" s="30">
        <v>41821</v>
      </c>
      <c r="H18" s="30">
        <v>41852</v>
      </c>
      <c r="I18" s="30">
        <v>41883</v>
      </c>
      <c r="J18" s="30">
        <v>41913</v>
      </c>
      <c r="K18" s="30">
        <v>41944</v>
      </c>
      <c r="L18" s="30">
        <v>41974</v>
      </c>
      <c r="M18" s="12"/>
      <c r="N18" s="12"/>
      <c r="O18" s="12"/>
    </row>
    <row r="19" spans="1:15" x14ac:dyDescent="0.25">
      <c r="A19" s="5">
        <v>740372.76</v>
      </c>
      <c r="B19" s="31">
        <v>628704.78</v>
      </c>
      <c r="C19" s="5">
        <v>690332.34</v>
      </c>
      <c r="D19" s="5">
        <v>519862.13</v>
      </c>
      <c r="E19" s="5">
        <v>617027.43999999994</v>
      </c>
      <c r="F19" s="5">
        <v>645682.73</v>
      </c>
      <c r="G19" s="5">
        <v>837887.26</v>
      </c>
      <c r="H19" s="5">
        <v>926765.66</v>
      </c>
      <c r="I19" s="5">
        <v>1100966.98</v>
      </c>
      <c r="J19" s="5">
        <v>1727994.22</v>
      </c>
      <c r="K19" s="5">
        <v>2147073.96</v>
      </c>
      <c r="L19" s="5">
        <v>2118646.9900000002</v>
      </c>
      <c r="M19" s="13"/>
      <c r="N19" s="13"/>
      <c r="O19" s="14"/>
    </row>
    <row r="20" spans="1:15" x14ac:dyDescent="0.25">
      <c r="G20" s="25"/>
    </row>
    <row r="21" spans="1:15" x14ac:dyDescent="0.25">
      <c r="A21" s="10" t="s">
        <v>36</v>
      </c>
      <c r="B21" s="32">
        <f>SUM(A19:L19)</f>
        <v>12701317.250000002</v>
      </c>
      <c r="C21" s="22"/>
      <c r="D21" s="22"/>
      <c r="E21" s="22"/>
      <c r="F21" s="23"/>
      <c r="G21" s="10"/>
      <c r="H21" s="10"/>
      <c r="I21" s="23"/>
      <c r="J21" s="22"/>
      <c r="K21" s="22"/>
      <c r="L21" s="22"/>
      <c r="M21" s="22"/>
      <c r="N21" s="22"/>
      <c r="O21" s="22"/>
    </row>
    <row r="22" spans="1:15" x14ac:dyDescent="0.25">
      <c r="A22" s="9"/>
      <c r="B22" s="9"/>
      <c r="C22" s="3"/>
      <c r="D22" s="3"/>
      <c r="E22" s="3"/>
      <c r="F22" s="24"/>
      <c r="G22" s="9"/>
      <c r="H22" s="9"/>
      <c r="I22" s="24"/>
      <c r="J22" s="3"/>
      <c r="K22" s="3"/>
      <c r="L22" s="3"/>
      <c r="M22" s="3"/>
      <c r="N22" s="3"/>
      <c r="O22" s="3"/>
    </row>
    <row r="23" spans="1:15" x14ac:dyDescent="0.25">
      <c r="A23" s="9"/>
      <c r="B23" s="9"/>
      <c r="C23" s="3"/>
      <c r="D23" s="3"/>
      <c r="E23" s="3"/>
      <c r="F23" s="24"/>
      <c r="G23" s="9"/>
      <c r="H23" s="9"/>
      <c r="I23" s="24"/>
      <c r="J23" s="3"/>
      <c r="K23" s="3"/>
      <c r="L23" s="3"/>
      <c r="M23" s="3"/>
      <c r="N23" s="3"/>
      <c r="O23" s="3"/>
    </row>
    <row r="24" spans="1:15" x14ac:dyDescent="0.25">
      <c r="A24" s="9"/>
      <c r="B24" s="9"/>
      <c r="C24" s="3"/>
      <c r="D24" s="3"/>
      <c r="E24" s="3"/>
      <c r="F24" s="24"/>
      <c r="G24" s="9"/>
      <c r="H24" s="9"/>
      <c r="I24" s="24"/>
      <c r="J24" s="3"/>
      <c r="K24" s="3"/>
      <c r="L24" s="3"/>
      <c r="M24" s="3"/>
      <c r="N24" s="3"/>
      <c r="O24" s="3"/>
    </row>
    <row r="25" spans="1:15" x14ac:dyDescent="0.25">
      <c r="A25" s="9"/>
      <c r="B25" s="9"/>
      <c r="C25" s="3"/>
      <c r="D25" s="3"/>
      <c r="E25" s="3"/>
      <c r="F25" s="24"/>
      <c r="G25" s="9"/>
      <c r="H25" s="9"/>
      <c r="I25" s="24"/>
      <c r="J25" s="3"/>
      <c r="K25" s="3"/>
      <c r="L25" s="3"/>
      <c r="M25" s="3"/>
      <c r="N25" s="3"/>
      <c r="O25" s="3"/>
    </row>
  </sheetData>
  <mergeCells count="5">
    <mergeCell ref="A3:L3"/>
    <mergeCell ref="A4:L4"/>
    <mergeCell ref="A5:L5"/>
    <mergeCell ref="A6:L6"/>
    <mergeCell ref="C8:D8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workbookViewId="0">
      <selection activeCell="G9" sqref="G9"/>
    </sheetView>
  </sheetViews>
  <sheetFormatPr baseColWidth="10" defaultRowHeight="15" x14ac:dyDescent="0.25"/>
  <cols>
    <col min="1" max="12" width="11.7109375" customWidth="1"/>
    <col min="13" max="13" width="10.5703125" customWidth="1"/>
    <col min="14" max="14" width="10.7109375" customWidth="1"/>
    <col min="15" max="15" width="10.5703125" customWidth="1"/>
  </cols>
  <sheetData>
    <row r="3" spans="1:15" ht="15.75" x14ac:dyDescent="0.25">
      <c r="A3" s="104" t="s">
        <v>18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5"/>
      <c r="N3" s="15"/>
      <c r="O3" s="15"/>
    </row>
    <row r="4" spans="1:15" ht="15.75" x14ac:dyDescent="0.25">
      <c r="A4" s="104" t="s">
        <v>19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5"/>
      <c r="N4" s="15"/>
      <c r="O4" s="15"/>
    </row>
    <row r="5" spans="1:15" ht="15.75" x14ac:dyDescent="0.25">
      <c r="A5" s="104" t="s">
        <v>12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5"/>
      <c r="N5" s="15"/>
      <c r="O5" s="15"/>
    </row>
    <row r="6" spans="1:15" ht="15.75" x14ac:dyDescent="0.25">
      <c r="A6" s="107" t="s">
        <v>40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5"/>
      <c r="N6" s="15"/>
      <c r="O6" s="15"/>
    </row>
    <row r="7" spans="1:15" ht="15.75" x14ac:dyDescent="0.25">
      <c r="A7" s="27"/>
      <c r="B7" s="27"/>
      <c r="C7" s="27"/>
      <c r="D7" s="27"/>
      <c r="E7" s="27"/>
      <c r="F7" s="27"/>
      <c r="G7" s="27"/>
      <c r="H7" s="15"/>
      <c r="I7" s="15"/>
      <c r="J7" s="15"/>
      <c r="K7" s="15"/>
      <c r="L7" s="15"/>
      <c r="M7" s="15"/>
      <c r="N7" s="15"/>
      <c r="O7" s="15"/>
    </row>
    <row r="8" spans="1:15" ht="15.75" x14ac:dyDescent="0.25">
      <c r="B8" s="27" t="s">
        <v>13</v>
      </c>
      <c r="C8" s="104" t="s">
        <v>14</v>
      </c>
      <c r="D8" s="104"/>
      <c r="E8" s="27" t="s">
        <v>31</v>
      </c>
      <c r="F8" s="27" t="s">
        <v>38</v>
      </c>
      <c r="G8" s="27" t="s">
        <v>37</v>
      </c>
      <c r="H8" s="9"/>
      <c r="I8" s="9"/>
      <c r="J8" s="9"/>
      <c r="K8" s="9"/>
      <c r="L8" s="9"/>
      <c r="M8" s="9"/>
      <c r="N8" s="9"/>
    </row>
    <row r="9" spans="1:15" s="11" customFormat="1" x14ac:dyDescent="0.25">
      <c r="B9" s="10">
        <v>2211</v>
      </c>
      <c r="C9" s="22" t="s">
        <v>28</v>
      </c>
      <c r="D9" s="22"/>
      <c r="E9" s="28">
        <v>3.0000000000000001E-3</v>
      </c>
      <c r="F9" s="23">
        <v>275226.65000000002</v>
      </c>
      <c r="G9" s="23">
        <f>F9*E9</f>
        <v>825.67995000000008</v>
      </c>
      <c r="H9" s="22"/>
      <c r="I9" s="22"/>
      <c r="J9" s="22"/>
      <c r="K9" s="22"/>
      <c r="L9" s="22"/>
      <c r="M9" s="22"/>
      <c r="N9" s="22"/>
      <c r="O9" s="22"/>
    </row>
    <row r="10" spans="1:15" x14ac:dyDescent="0.25">
      <c r="B10" s="9">
        <v>2212</v>
      </c>
      <c r="C10" s="3" t="s">
        <v>29</v>
      </c>
      <c r="D10" s="3"/>
      <c r="E10" s="29">
        <v>8.0000000000000002E-3</v>
      </c>
      <c r="F10" s="23">
        <v>5116390.76</v>
      </c>
      <c r="G10" s="23">
        <f t="shared" ref="G10:G15" si="0">F10*E10</f>
        <v>40931.126080000002</v>
      </c>
      <c r="H10" s="3"/>
      <c r="I10" s="3"/>
      <c r="J10" s="3"/>
      <c r="K10" s="3"/>
      <c r="L10" s="3"/>
      <c r="M10" s="3"/>
      <c r="N10" s="3"/>
      <c r="O10" s="3"/>
    </row>
    <row r="11" spans="1:15" x14ac:dyDescent="0.25">
      <c r="B11" s="9">
        <v>2214</v>
      </c>
      <c r="C11" s="3" t="s">
        <v>30</v>
      </c>
      <c r="D11" s="3"/>
      <c r="E11" s="29">
        <v>6.0000000000000001E-3</v>
      </c>
      <c r="F11" s="23">
        <v>1279243.48</v>
      </c>
      <c r="G11" s="23">
        <f t="shared" si="0"/>
        <v>7675.4608799999996</v>
      </c>
      <c r="H11" s="3"/>
      <c r="I11" s="3"/>
      <c r="J11" s="3"/>
      <c r="K11" s="3"/>
      <c r="L11" s="3"/>
      <c r="M11" s="3"/>
      <c r="N11" s="3"/>
      <c r="O11" s="3"/>
    </row>
    <row r="12" spans="1:15" x14ac:dyDescent="0.25">
      <c r="B12" s="9">
        <v>2215</v>
      </c>
      <c r="C12" s="3" t="s">
        <v>32</v>
      </c>
      <c r="D12" s="3"/>
      <c r="E12" s="29">
        <v>8.0000000000000002E-3</v>
      </c>
      <c r="F12" s="23">
        <v>1091868.8600000001</v>
      </c>
      <c r="G12" s="23">
        <f t="shared" si="0"/>
        <v>8734.9508800000003</v>
      </c>
      <c r="H12" s="3"/>
      <c r="I12" s="3"/>
      <c r="J12" s="3"/>
      <c r="K12" s="3"/>
      <c r="L12" s="3"/>
      <c r="M12" s="3"/>
      <c r="N12" s="3"/>
      <c r="O12" s="3"/>
    </row>
    <row r="13" spans="1:15" x14ac:dyDescent="0.25">
      <c r="B13" s="9">
        <v>2216</v>
      </c>
      <c r="C13" s="3" t="s">
        <v>33</v>
      </c>
      <c r="D13" s="3"/>
      <c r="E13" s="29">
        <v>6.0000000000000001E-3</v>
      </c>
      <c r="F13" s="23">
        <v>184244.68</v>
      </c>
      <c r="G13" s="23">
        <f t="shared" si="0"/>
        <v>1105.4680799999999</v>
      </c>
      <c r="H13" s="3"/>
      <c r="I13" s="3"/>
      <c r="J13" s="3"/>
      <c r="K13" s="3"/>
      <c r="L13" s="3"/>
      <c r="M13" s="3"/>
      <c r="N13" s="3"/>
      <c r="O13" s="3"/>
    </row>
    <row r="14" spans="1:15" x14ac:dyDescent="0.25">
      <c r="B14" s="9">
        <v>2254</v>
      </c>
      <c r="C14" s="3" t="s">
        <v>34</v>
      </c>
      <c r="D14" s="3"/>
      <c r="E14" s="29">
        <v>8.9999999999999993E-3</v>
      </c>
      <c r="F14" s="24">
        <v>131477.48000000001</v>
      </c>
      <c r="G14" s="23">
        <f t="shared" si="0"/>
        <v>1183.2973199999999</v>
      </c>
      <c r="H14" s="3"/>
      <c r="I14" s="3"/>
      <c r="J14" s="3"/>
      <c r="K14" s="3"/>
      <c r="L14" s="3"/>
      <c r="M14" s="3"/>
      <c r="N14" s="3"/>
      <c r="O14" s="3"/>
    </row>
    <row r="15" spans="1:15" x14ac:dyDescent="0.25">
      <c r="B15" s="9">
        <v>228</v>
      </c>
      <c r="C15" s="3" t="s">
        <v>35</v>
      </c>
      <c r="D15" s="3"/>
      <c r="E15" s="29">
        <v>3.0000000000000001E-3</v>
      </c>
      <c r="F15" s="33">
        <v>152608.49</v>
      </c>
      <c r="G15" s="23">
        <f t="shared" si="0"/>
        <v>457.82547</v>
      </c>
      <c r="H15" s="3"/>
      <c r="I15" s="3"/>
      <c r="J15" s="3"/>
      <c r="K15" s="3"/>
      <c r="L15" s="3"/>
      <c r="M15" s="3"/>
      <c r="N15" s="3"/>
      <c r="O15" s="3"/>
    </row>
    <row r="16" spans="1:15" x14ac:dyDescent="0.25">
      <c r="B16" s="9"/>
      <c r="C16" s="3"/>
      <c r="D16" s="3"/>
      <c r="E16" s="29"/>
      <c r="F16" s="24">
        <f>SUM(F9:F15)</f>
        <v>8231060.4000000013</v>
      </c>
      <c r="G16" s="2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5" ht="15.75" x14ac:dyDescent="0.25">
      <c r="A18" s="30">
        <v>41426</v>
      </c>
      <c r="B18" s="30">
        <v>41456</v>
      </c>
      <c r="C18" s="30">
        <v>41487</v>
      </c>
      <c r="D18" s="30">
        <v>41518</v>
      </c>
      <c r="E18" s="30">
        <v>41548</v>
      </c>
      <c r="F18" s="30">
        <v>41579</v>
      </c>
      <c r="G18" s="30">
        <v>41609</v>
      </c>
      <c r="H18" s="30">
        <v>41640</v>
      </c>
      <c r="I18" s="30">
        <v>41671</v>
      </c>
      <c r="J18" s="30">
        <v>41699</v>
      </c>
      <c r="K18" s="30">
        <v>41730</v>
      </c>
      <c r="L18" s="30">
        <v>41760</v>
      </c>
      <c r="M18" s="12"/>
      <c r="N18" s="12"/>
      <c r="O18" s="12"/>
    </row>
    <row r="19" spans="1:15" x14ac:dyDescent="0.25">
      <c r="A19" s="5">
        <v>696867.67</v>
      </c>
      <c r="B19" s="31">
        <v>750790.68</v>
      </c>
      <c r="C19" s="5">
        <v>654261</v>
      </c>
      <c r="D19" s="5">
        <v>618321.09</v>
      </c>
      <c r="E19" s="5">
        <v>765078.64</v>
      </c>
      <c r="F19" s="5">
        <v>892393.75</v>
      </c>
      <c r="G19" s="5">
        <v>657048.12</v>
      </c>
      <c r="H19" s="5">
        <v>740372.76</v>
      </c>
      <c r="I19" s="5">
        <v>628704.78</v>
      </c>
      <c r="J19" s="5">
        <v>690332.34</v>
      </c>
      <c r="K19" s="5">
        <v>519862.13</v>
      </c>
      <c r="L19" s="5">
        <v>617027.43999999994</v>
      </c>
      <c r="M19" s="13"/>
      <c r="N19" s="13"/>
      <c r="O19" s="14"/>
    </row>
    <row r="20" spans="1:15" x14ac:dyDescent="0.25">
      <c r="G20" s="25"/>
    </row>
    <row r="21" spans="1:15" x14ac:dyDescent="0.25">
      <c r="A21" s="10" t="s">
        <v>36</v>
      </c>
      <c r="B21" s="32">
        <f>SUM(A19:L19)</f>
        <v>8231060.4000000004</v>
      </c>
      <c r="C21" s="22"/>
      <c r="D21" s="22"/>
      <c r="E21" s="22"/>
      <c r="F21" s="23"/>
      <c r="G21" s="10"/>
      <c r="H21" s="10"/>
      <c r="I21" s="23"/>
      <c r="J21" s="22"/>
      <c r="K21" s="22"/>
      <c r="L21" s="22"/>
      <c r="M21" s="22"/>
      <c r="N21" s="22"/>
      <c r="O21" s="22"/>
    </row>
    <row r="22" spans="1:15" x14ac:dyDescent="0.25">
      <c r="A22" s="9"/>
      <c r="B22" s="9"/>
      <c r="C22" s="3"/>
      <c r="D22" s="3"/>
      <c r="E22" s="3"/>
      <c r="F22" s="24"/>
      <c r="G22" s="9"/>
      <c r="H22" s="9"/>
      <c r="I22" s="24"/>
      <c r="J22" s="3"/>
      <c r="K22" s="3"/>
      <c r="L22" s="3"/>
      <c r="M22" s="3"/>
      <c r="N22" s="3"/>
      <c r="O22" s="3"/>
    </row>
    <row r="23" spans="1:15" x14ac:dyDescent="0.25">
      <c r="A23" s="9"/>
      <c r="B23" s="9"/>
      <c r="C23" s="3"/>
      <c r="D23" s="3"/>
      <c r="E23" s="3"/>
      <c r="F23" s="24"/>
      <c r="G23" s="9"/>
      <c r="H23" s="9"/>
      <c r="I23" s="24"/>
      <c r="J23" s="3"/>
      <c r="K23" s="3"/>
      <c r="L23" s="3"/>
      <c r="M23" s="3"/>
      <c r="N23" s="3"/>
      <c r="O23" s="3"/>
    </row>
    <row r="24" spans="1:15" x14ac:dyDescent="0.25">
      <c r="A24" s="9"/>
      <c r="B24" s="9"/>
      <c r="C24" s="3"/>
      <c r="D24" s="3"/>
      <c r="E24" s="3"/>
      <c r="F24" s="24"/>
      <c r="G24" s="9"/>
      <c r="H24" s="9"/>
      <c r="I24" s="24"/>
      <c r="J24" s="3"/>
      <c r="K24" s="3"/>
      <c r="L24" s="3"/>
      <c r="M24" s="3"/>
      <c r="N24" s="3"/>
      <c r="O24" s="3"/>
    </row>
    <row r="25" spans="1:15" x14ac:dyDescent="0.25">
      <c r="A25" s="9"/>
      <c r="B25" s="9"/>
      <c r="C25" s="3"/>
      <c r="D25" s="3"/>
      <c r="E25" s="3"/>
      <c r="F25" s="24"/>
      <c r="G25" s="9"/>
      <c r="H25" s="9"/>
      <c r="I25" s="24"/>
      <c r="J25" s="3"/>
      <c r="K25" s="3"/>
      <c r="L25" s="3"/>
      <c r="M25" s="3"/>
      <c r="N25" s="3"/>
      <c r="O25" s="3"/>
    </row>
  </sheetData>
  <mergeCells count="5">
    <mergeCell ref="A3:L3"/>
    <mergeCell ref="A4:L4"/>
    <mergeCell ref="A5:L5"/>
    <mergeCell ref="A6:L6"/>
    <mergeCell ref="C8:D8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workbookViewId="0">
      <selection activeCell="J8" sqref="J8"/>
    </sheetView>
  </sheetViews>
  <sheetFormatPr baseColWidth="10" defaultRowHeight="15" x14ac:dyDescent="0.25"/>
  <cols>
    <col min="1" max="12" width="12.28515625" customWidth="1"/>
    <col min="13" max="13" width="10.5703125" customWidth="1"/>
    <col min="14" max="14" width="10.7109375" customWidth="1"/>
    <col min="15" max="15" width="10.5703125" customWidth="1"/>
  </cols>
  <sheetData>
    <row r="3" spans="1:15" ht="15.75" x14ac:dyDescent="0.25">
      <c r="A3" s="104" t="s">
        <v>18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5"/>
      <c r="N3" s="15"/>
      <c r="O3" s="15"/>
    </row>
    <row r="4" spans="1:15" ht="15.75" x14ac:dyDescent="0.25">
      <c r="A4" s="104" t="s">
        <v>19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5"/>
      <c r="N4" s="15"/>
      <c r="O4" s="15"/>
    </row>
    <row r="5" spans="1:15" ht="15.75" x14ac:dyDescent="0.25">
      <c r="A5" s="104" t="s">
        <v>12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5"/>
      <c r="N5" s="15"/>
      <c r="O5" s="15"/>
    </row>
    <row r="6" spans="1:15" ht="15.75" x14ac:dyDescent="0.25">
      <c r="A6" s="107" t="s">
        <v>39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5"/>
      <c r="N6" s="15"/>
      <c r="O6" s="15"/>
    </row>
    <row r="7" spans="1:15" ht="15.75" x14ac:dyDescent="0.25">
      <c r="A7" s="27"/>
      <c r="B7" s="27"/>
      <c r="C7" s="27"/>
      <c r="D7" s="27"/>
      <c r="E7" s="27"/>
      <c r="F7" s="27"/>
      <c r="G7" s="27"/>
      <c r="H7" s="15"/>
      <c r="I7" s="15"/>
      <c r="J7" s="15"/>
      <c r="K7" s="15"/>
      <c r="L7" s="15"/>
      <c r="M7" s="15"/>
      <c r="N7" s="15"/>
      <c r="O7" s="15"/>
    </row>
    <row r="8" spans="1:15" ht="15.75" x14ac:dyDescent="0.25">
      <c r="B8" s="27" t="s">
        <v>13</v>
      </c>
      <c r="C8" s="104" t="s">
        <v>14</v>
      </c>
      <c r="D8" s="104"/>
      <c r="E8" s="27" t="s">
        <v>31</v>
      </c>
      <c r="F8" s="27" t="s">
        <v>38</v>
      </c>
      <c r="G8" s="27" t="s">
        <v>37</v>
      </c>
      <c r="H8" s="9"/>
      <c r="I8" s="9"/>
      <c r="J8" s="9"/>
      <c r="K8" s="9"/>
      <c r="L8" s="9"/>
      <c r="M8" s="9"/>
      <c r="N8" s="9"/>
    </row>
    <row r="9" spans="1:15" s="11" customFormat="1" x14ac:dyDescent="0.25">
      <c r="B9" s="10">
        <v>2211</v>
      </c>
      <c r="C9" s="22" t="s">
        <v>28</v>
      </c>
      <c r="D9" s="22"/>
      <c r="E9" s="28">
        <v>3.0000000000000001E-3</v>
      </c>
      <c r="F9" s="23">
        <v>297598.75</v>
      </c>
      <c r="G9" s="23">
        <f>F9*E9</f>
        <v>892.79624999999999</v>
      </c>
      <c r="H9" s="22"/>
      <c r="I9" s="22"/>
      <c r="J9" s="22"/>
      <c r="K9" s="22"/>
      <c r="L9" s="22"/>
      <c r="M9" s="22"/>
      <c r="N9" s="22"/>
      <c r="O9" s="22"/>
    </row>
    <row r="10" spans="1:15" x14ac:dyDescent="0.25">
      <c r="B10" s="9">
        <v>2212</v>
      </c>
      <c r="C10" s="3" t="s">
        <v>29</v>
      </c>
      <c r="D10" s="3"/>
      <c r="E10" s="29">
        <v>8.0000000000000002E-3</v>
      </c>
      <c r="F10" s="24">
        <v>5530917.96</v>
      </c>
      <c r="G10" s="23">
        <f t="shared" ref="G10:G14" si="0">F10*E10</f>
        <v>44247.343679999998</v>
      </c>
      <c r="H10" s="3"/>
      <c r="I10" s="3"/>
      <c r="J10" s="3"/>
      <c r="K10" s="3"/>
      <c r="L10" s="3"/>
      <c r="M10" s="3"/>
      <c r="N10" s="3"/>
      <c r="O10" s="3"/>
    </row>
    <row r="11" spans="1:15" x14ac:dyDescent="0.25">
      <c r="B11" s="9">
        <v>2214</v>
      </c>
      <c r="C11" s="3" t="s">
        <v>30</v>
      </c>
      <c r="D11" s="3"/>
      <c r="E11" s="29">
        <v>6.0000000000000001E-3</v>
      </c>
      <c r="F11" s="24">
        <v>1367676.16</v>
      </c>
      <c r="G11" s="23">
        <f t="shared" si="0"/>
        <v>8206.0569599999999</v>
      </c>
      <c r="H11" s="3"/>
      <c r="I11" s="3"/>
      <c r="J11" s="3"/>
      <c r="K11" s="3"/>
      <c r="L11" s="3"/>
      <c r="M11" s="3"/>
      <c r="N11" s="3"/>
      <c r="O11" s="3"/>
    </row>
    <row r="12" spans="1:15" x14ac:dyDescent="0.25">
      <c r="B12" s="9">
        <v>2215</v>
      </c>
      <c r="C12" s="3" t="s">
        <v>32</v>
      </c>
      <c r="D12" s="3"/>
      <c r="E12" s="29">
        <v>8.0000000000000002E-3</v>
      </c>
      <c r="F12" s="24">
        <v>1220561.24</v>
      </c>
      <c r="G12" s="23">
        <f t="shared" si="0"/>
        <v>9764.48992</v>
      </c>
      <c r="H12" s="3"/>
      <c r="I12" s="3"/>
      <c r="J12" s="3"/>
      <c r="K12" s="3"/>
      <c r="L12" s="3"/>
      <c r="M12" s="3"/>
      <c r="N12" s="3"/>
      <c r="O12" s="3"/>
    </row>
    <row r="13" spans="1:15" x14ac:dyDescent="0.25">
      <c r="B13" s="9">
        <v>2216</v>
      </c>
      <c r="C13" s="3" t="s">
        <v>33</v>
      </c>
      <c r="D13" s="3"/>
      <c r="E13" s="29">
        <v>6.0000000000000001E-3</v>
      </c>
      <c r="F13" s="24">
        <v>202583.23</v>
      </c>
      <c r="G13" s="23">
        <f t="shared" si="0"/>
        <v>1215.4993800000002</v>
      </c>
      <c r="H13" s="3"/>
      <c r="I13" s="3"/>
      <c r="J13" s="3"/>
      <c r="K13" s="3"/>
      <c r="L13" s="3"/>
      <c r="M13" s="3"/>
      <c r="N13" s="3"/>
      <c r="O13" s="3"/>
    </row>
    <row r="14" spans="1:15" x14ac:dyDescent="0.25">
      <c r="B14" s="9">
        <v>2254</v>
      </c>
      <c r="C14" s="3" t="s">
        <v>34</v>
      </c>
      <c r="D14" s="3"/>
      <c r="E14" s="29">
        <v>8.9999999999999993E-3</v>
      </c>
      <c r="F14" s="24">
        <v>140430.79</v>
      </c>
      <c r="G14" s="23">
        <f t="shared" si="0"/>
        <v>1263.8771099999999</v>
      </c>
      <c r="H14" s="3"/>
      <c r="I14" s="3"/>
      <c r="J14" s="3"/>
      <c r="K14" s="3"/>
      <c r="L14" s="3"/>
      <c r="M14" s="3"/>
      <c r="N14" s="3"/>
      <c r="O14" s="3"/>
    </row>
    <row r="15" spans="1:15" x14ac:dyDescent="0.25">
      <c r="B15" s="9">
        <v>228</v>
      </c>
      <c r="C15" s="3" t="s">
        <v>35</v>
      </c>
      <c r="D15" s="3"/>
      <c r="E15" s="29">
        <v>3.0000000000000001E-3</v>
      </c>
      <c r="F15" s="33">
        <v>159129.98000000001</v>
      </c>
      <c r="G15" s="23">
        <v>1070</v>
      </c>
      <c r="H15" s="3"/>
      <c r="I15" s="3"/>
      <c r="J15" s="3"/>
      <c r="K15" s="3"/>
      <c r="L15" s="3"/>
      <c r="M15" s="3"/>
      <c r="N15" s="3"/>
      <c r="O15" s="3"/>
    </row>
    <row r="16" spans="1:15" x14ac:dyDescent="0.25">
      <c r="B16" s="9"/>
      <c r="C16" s="3"/>
      <c r="D16" s="3"/>
      <c r="E16" s="29"/>
      <c r="F16" s="24">
        <f>SUM(F9:F15)</f>
        <v>8918898.1099999994</v>
      </c>
      <c r="G16" s="2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5" ht="15.75" x14ac:dyDescent="0.25">
      <c r="A18" s="30">
        <v>41061</v>
      </c>
      <c r="B18" s="30">
        <v>41091</v>
      </c>
      <c r="C18" s="30">
        <v>41122</v>
      </c>
      <c r="D18" s="30">
        <v>41153</v>
      </c>
      <c r="E18" s="30">
        <v>41183</v>
      </c>
      <c r="F18" s="30">
        <v>41214</v>
      </c>
      <c r="G18" s="30">
        <v>41244</v>
      </c>
      <c r="H18" s="30">
        <v>41275</v>
      </c>
      <c r="I18" s="30">
        <v>41306</v>
      </c>
      <c r="J18" s="30">
        <v>41334</v>
      </c>
      <c r="K18" s="30">
        <v>41365</v>
      </c>
      <c r="L18" s="30">
        <v>41395</v>
      </c>
      <c r="M18" s="12"/>
      <c r="N18" s="12"/>
      <c r="O18" s="12"/>
    </row>
    <row r="19" spans="1:15" x14ac:dyDescent="0.25">
      <c r="A19" s="5">
        <v>787897.48</v>
      </c>
      <c r="B19" s="31">
        <v>775025.55</v>
      </c>
      <c r="C19" s="5">
        <v>849895.07</v>
      </c>
      <c r="D19" s="5">
        <v>793557.02</v>
      </c>
      <c r="E19" s="5">
        <v>819505.98</v>
      </c>
      <c r="F19" s="5">
        <v>808411.89</v>
      </c>
      <c r="G19" s="5">
        <v>747071.01</v>
      </c>
      <c r="H19" s="5">
        <v>712087.64</v>
      </c>
      <c r="I19" s="5">
        <v>658295.07999999996</v>
      </c>
      <c r="J19" s="5">
        <v>593077.34</v>
      </c>
      <c r="K19" s="5">
        <v>667574.17000000004</v>
      </c>
      <c r="L19" s="5">
        <v>706499.88</v>
      </c>
      <c r="M19" s="13"/>
      <c r="N19" s="13"/>
      <c r="O19" s="14"/>
    </row>
    <row r="20" spans="1:15" x14ac:dyDescent="0.25">
      <c r="G20" s="25"/>
    </row>
    <row r="21" spans="1:15" x14ac:dyDescent="0.25">
      <c r="A21" s="10" t="s">
        <v>36</v>
      </c>
      <c r="B21" s="32">
        <f>SUM(A19:L19)</f>
        <v>8918898.1099999994</v>
      </c>
      <c r="C21" s="22"/>
      <c r="D21" s="22"/>
      <c r="E21" s="22"/>
      <c r="F21" s="23"/>
      <c r="G21" s="10"/>
      <c r="H21" s="10"/>
      <c r="I21" s="23"/>
      <c r="J21" s="22"/>
      <c r="K21" s="22"/>
      <c r="L21" s="22"/>
      <c r="M21" s="22"/>
      <c r="N21" s="22"/>
      <c r="O21" s="22"/>
    </row>
    <row r="22" spans="1:15" x14ac:dyDescent="0.25">
      <c r="A22" s="9"/>
      <c r="B22" s="9"/>
      <c r="C22" s="3"/>
      <c r="D22" s="3"/>
      <c r="E22" s="3"/>
      <c r="F22" s="24"/>
      <c r="G22" s="9"/>
      <c r="H22" s="9"/>
      <c r="I22" s="24"/>
      <c r="J22" s="3"/>
      <c r="K22" s="3"/>
      <c r="L22" s="3"/>
      <c r="M22" s="3"/>
      <c r="N22" s="3"/>
      <c r="O22" s="3"/>
    </row>
    <row r="23" spans="1:15" x14ac:dyDescent="0.25">
      <c r="A23" s="9"/>
      <c r="B23" s="9"/>
      <c r="C23" s="3"/>
      <c r="D23" s="3"/>
      <c r="E23" s="3"/>
      <c r="F23" s="24"/>
      <c r="G23" s="9"/>
      <c r="H23" s="9"/>
      <c r="I23" s="24"/>
      <c r="J23" s="3"/>
      <c r="K23" s="3"/>
      <c r="L23" s="3"/>
      <c r="M23" s="3"/>
      <c r="N23" s="3"/>
      <c r="O23" s="3"/>
    </row>
    <row r="24" spans="1:15" x14ac:dyDescent="0.25">
      <c r="A24" s="9"/>
      <c r="B24" s="9"/>
      <c r="C24" s="3"/>
      <c r="D24" s="3"/>
      <c r="E24" s="3"/>
      <c r="F24" s="24"/>
      <c r="G24" s="9"/>
      <c r="H24" s="9"/>
      <c r="I24" s="24"/>
      <c r="J24" s="3"/>
      <c r="K24" s="3"/>
      <c r="L24" s="3"/>
      <c r="M24" s="3"/>
      <c r="N24" s="3"/>
      <c r="O24" s="3"/>
    </row>
    <row r="25" spans="1:15" x14ac:dyDescent="0.25">
      <c r="A25" s="9"/>
      <c r="B25" s="9"/>
      <c r="C25" s="3"/>
      <c r="D25" s="3"/>
      <c r="E25" s="3"/>
      <c r="F25" s="24"/>
      <c r="G25" s="9"/>
      <c r="H25" s="9"/>
      <c r="I25" s="24"/>
      <c r="J25" s="3"/>
      <c r="K25" s="3"/>
      <c r="L25" s="3"/>
      <c r="M25" s="3"/>
      <c r="N25" s="3"/>
      <c r="O25" s="3"/>
    </row>
  </sheetData>
  <mergeCells count="5">
    <mergeCell ref="A3:L3"/>
    <mergeCell ref="A4:L4"/>
    <mergeCell ref="A5:L5"/>
    <mergeCell ref="A6:L6"/>
    <mergeCell ref="C8:D8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workbookViewId="0">
      <selection activeCell="L7" sqref="L7"/>
    </sheetView>
  </sheetViews>
  <sheetFormatPr baseColWidth="10" defaultRowHeight="15" x14ac:dyDescent="0.25"/>
  <cols>
    <col min="1" max="1" width="12.7109375" customWidth="1"/>
    <col min="2" max="2" width="13.7109375" customWidth="1"/>
    <col min="3" max="3" width="13.140625" customWidth="1"/>
    <col min="4" max="4" width="12.5703125" customWidth="1"/>
    <col min="5" max="5" width="11.7109375" customWidth="1"/>
    <col min="6" max="6" width="13.42578125" customWidth="1"/>
    <col min="7" max="7" width="14.85546875" customWidth="1"/>
    <col min="8" max="9" width="11.5703125" customWidth="1"/>
    <col min="10" max="10" width="10.7109375" customWidth="1"/>
    <col min="11" max="11" width="10.5703125" customWidth="1"/>
    <col min="12" max="12" width="10.85546875" customWidth="1"/>
    <col min="13" max="13" width="10.5703125" customWidth="1"/>
    <col min="14" max="14" width="10.7109375" customWidth="1"/>
    <col min="15" max="15" width="10.5703125" customWidth="1"/>
  </cols>
  <sheetData>
    <row r="3" spans="1:15" ht="15.75" x14ac:dyDescent="0.25">
      <c r="A3" s="104" t="s">
        <v>18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5"/>
      <c r="N3" s="15"/>
      <c r="O3" s="15"/>
    </row>
    <row r="4" spans="1:15" ht="15.75" x14ac:dyDescent="0.25">
      <c r="A4" s="104" t="s">
        <v>19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5"/>
      <c r="N4" s="15"/>
      <c r="O4" s="15"/>
    </row>
    <row r="5" spans="1:15" ht="15.75" x14ac:dyDescent="0.25">
      <c r="A5" s="104" t="s">
        <v>12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5"/>
      <c r="N5" s="15"/>
      <c r="O5" s="15"/>
    </row>
    <row r="6" spans="1:15" ht="15.75" x14ac:dyDescent="0.25">
      <c r="A6" s="107" t="s">
        <v>27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5"/>
      <c r="N6" s="15"/>
      <c r="O6" s="15"/>
    </row>
    <row r="7" spans="1:15" ht="15.75" x14ac:dyDescent="0.25">
      <c r="A7" s="8"/>
      <c r="B7" s="26"/>
      <c r="C7" s="8"/>
      <c r="D7" s="8"/>
      <c r="E7" s="8"/>
      <c r="F7" s="8"/>
      <c r="G7" s="8"/>
      <c r="H7" s="15"/>
      <c r="I7" s="15"/>
      <c r="J7" s="15"/>
      <c r="K7" s="15"/>
      <c r="L7" s="15"/>
      <c r="M7" s="15"/>
      <c r="N7" s="15"/>
      <c r="O7" s="15"/>
    </row>
    <row r="8" spans="1:15" ht="15.75" x14ac:dyDescent="0.25">
      <c r="B8" s="6" t="s">
        <v>13</v>
      </c>
      <c r="C8" s="104" t="s">
        <v>14</v>
      </c>
      <c r="D8" s="104"/>
      <c r="E8" s="26" t="s">
        <v>31</v>
      </c>
      <c r="F8" s="26" t="s">
        <v>38</v>
      </c>
      <c r="G8" s="26" t="s">
        <v>37</v>
      </c>
      <c r="H8" s="7"/>
      <c r="I8" s="7"/>
      <c r="J8" s="7"/>
      <c r="K8" s="7"/>
      <c r="L8" s="7"/>
      <c r="M8" s="7"/>
      <c r="N8" s="7"/>
    </row>
    <row r="9" spans="1:15" s="11" customFormat="1" x14ac:dyDescent="0.25">
      <c r="B9" s="10">
        <v>2211</v>
      </c>
      <c r="C9" s="22" t="s">
        <v>28</v>
      </c>
      <c r="D9" s="22"/>
      <c r="E9" s="28">
        <v>3.0000000000000001E-3</v>
      </c>
      <c r="F9" s="23">
        <v>254760</v>
      </c>
      <c r="G9" s="23">
        <f>F9*E9</f>
        <v>764.28</v>
      </c>
      <c r="H9" s="22"/>
      <c r="I9" s="22"/>
      <c r="J9" s="22"/>
      <c r="K9" s="22"/>
      <c r="L9" s="22"/>
      <c r="M9" s="22"/>
      <c r="N9" s="22"/>
      <c r="O9" s="22"/>
    </row>
    <row r="10" spans="1:15" x14ac:dyDescent="0.25">
      <c r="B10" s="7">
        <v>2212</v>
      </c>
      <c r="C10" s="3" t="s">
        <v>29</v>
      </c>
      <c r="D10" s="3"/>
      <c r="E10" s="29">
        <v>8.0000000000000002E-3</v>
      </c>
      <c r="F10" s="24">
        <v>6028478.3300000001</v>
      </c>
      <c r="G10" s="23">
        <f t="shared" ref="G10:G14" si="0">F10*E10</f>
        <v>48227.826639999999</v>
      </c>
      <c r="H10" s="3"/>
      <c r="I10" s="3"/>
      <c r="J10" s="3"/>
      <c r="K10" s="3"/>
      <c r="L10" s="3"/>
      <c r="M10" s="3"/>
      <c r="N10" s="3"/>
      <c r="O10" s="3"/>
    </row>
    <row r="11" spans="1:15" x14ac:dyDescent="0.25">
      <c r="B11" s="7">
        <v>2214</v>
      </c>
      <c r="C11" s="3" t="s">
        <v>30</v>
      </c>
      <c r="D11" s="3"/>
      <c r="E11" s="29">
        <v>6.0000000000000001E-3</v>
      </c>
      <c r="F11" s="24">
        <v>1047552.37</v>
      </c>
      <c r="G11" s="23">
        <f t="shared" si="0"/>
        <v>6285.3142200000002</v>
      </c>
      <c r="H11" s="3"/>
      <c r="I11" s="3"/>
      <c r="J11" s="3"/>
      <c r="K11" s="3"/>
      <c r="L11" s="3"/>
      <c r="M11" s="3"/>
      <c r="N11" s="3"/>
      <c r="O11" s="3"/>
    </row>
    <row r="12" spans="1:15" x14ac:dyDescent="0.25">
      <c r="B12" s="9">
        <v>2215</v>
      </c>
      <c r="C12" s="3" t="s">
        <v>32</v>
      </c>
      <c r="D12" s="3"/>
      <c r="E12" s="29">
        <v>8.0000000000000002E-3</v>
      </c>
      <c r="F12" s="24">
        <v>1203688.01</v>
      </c>
      <c r="G12" s="23">
        <f t="shared" si="0"/>
        <v>9629.5040800000006</v>
      </c>
      <c r="H12" s="3"/>
      <c r="I12" s="3"/>
      <c r="J12" s="3"/>
      <c r="K12" s="3"/>
      <c r="L12" s="3"/>
      <c r="M12" s="3"/>
      <c r="N12" s="3"/>
      <c r="O12" s="3"/>
    </row>
    <row r="13" spans="1:15" x14ac:dyDescent="0.25">
      <c r="B13" s="9">
        <v>2216</v>
      </c>
      <c r="C13" s="3" t="s">
        <v>33</v>
      </c>
      <c r="D13" s="3"/>
      <c r="E13" s="29">
        <v>6.0000000000000001E-3</v>
      </c>
      <c r="F13" s="24">
        <v>196145.57</v>
      </c>
      <c r="G13" s="23">
        <f t="shared" si="0"/>
        <v>1176.8734200000001</v>
      </c>
      <c r="H13" s="3"/>
      <c r="I13" s="3"/>
      <c r="J13" s="3"/>
      <c r="K13" s="3"/>
      <c r="L13" s="3"/>
      <c r="M13" s="3"/>
      <c r="N13" s="3"/>
      <c r="O13" s="3"/>
    </row>
    <row r="14" spans="1:15" x14ac:dyDescent="0.25">
      <c r="B14" s="9">
        <v>2254</v>
      </c>
      <c r="C14" s="3" t="s">
        <v>34</v>
      </c>
      <c r="D14" s="3"/>
      <c r="E14" s="29">
        <v>8.9999999999999993E-3</v>
      </c>
      <c r="F14" s="24">
        <v>134555.57999999999</v>
      </c>
      <c r="G14" s="23">
        <f t="shared" si="0"/>
        <v>1211.0002199999999</v>
      </c>
      <c r="H14" s="3"/>
      <c r="I14" s="3"/>
      <c r="J14" s="3"/>
      <c r="K14" s="3"/>
      <c r="L14" s="3"/>
      <c r="M14" s="3"/>
      <c r="N14" s="3"/>
      <c r="O14" s="3"/>
    </row>
    <row r="15" spans="1:15" x14ac:dyDescent="0.25">
      <c r="B15" s="9">
        <v>228</v>
      </c>
      <c r="C15" s="3" t="s">
        <v>35</v>
      </c>
      <c r="D15" s="3"/>
      <c r="E15" s="29">
        <v>3.0000000000000001E-3</v>
      </c>
      <c r="F15" s="33">
        <v>136962.29</v>
      </c>
      <c r="G15" s="23">
        <v>900</v>
      </c>
      <c r="H15" s="3"/>
      <c r="I15" s="3"/>
      <c r="J15" s="3"/>
      <c r="K15" s="3"/>
      <c r="L15" s="3"/>
      <c r="M15" s="3"/>
      <c r="N15" s="3"/>
      <c r="O15" s="3"/>
    </row>
    <row r="16" spans="1:15" x14ac:dyDescent="0.25">
      <c r="B16" s="9"/>
      <c r="C16" s="3"/>
      <c r="D16" s="3"/>
      <c r="E16" s="29"/>
      <c r="F16" s="24">
        <f>SUM(F9:F15)</f>
        <v>9002142.1500000004</v>
      </c>
      <c r="G16" s="2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5" ht="15.75" x14ac:dyDescent="0.25">
      <c r="A18" s="30">
        <v>40695</v>
      </c>
      <c r="B18" s="30">
        <v>40725</v>
      </c>
      <c r="C18" s="30">
        <v>40756</v>
      </c>
      <c r="D18" s="30">
        <v>40787</v>
      </c>
      <c r="E18" s="30">
        <v>40817</v>
      </c>
      <c r="F18" s="30">
        <v>40848</v>
      </c>
      <c r="G18" s="30">
        <v>40878</v>
      </c>
      <c r="H18" s="30">
        <v>40909</v>
      </c>
      <c r="I18" s="30">
        <v>40940</v>
      </c>
      <c r="J18" s="30">
        <v>40969</v>
      </c>
      <c r="K18" s="30">
        <v>41000</v>
      </c>
      <c r="L18" s="30">
        <v>41030</v>
      </c>
      <c r="M18" s="12"/>
      <c r="N18" s="12"/>
      <c r="O18" s="12"/>
    </row>
    <row r="19" spans="1:15" x14ac:dyDescent="0.25">
      <c r="A19" s="5">
        <v>732318.45</v>
      </c>
      <c r="B19" s="31">
        <v>725406.11</v>
      </c>
      <c r="C19" s="5">
        <v>797679.65</v>
      </c>
      <c r="D19" s="5">
        <v>763102.58</v>
      </c>
      <c r="E19" s="5">
        <v>828715.96</v>
      </c>
      <c r="F19" s="5">
        <v>915433.19</v>
      </c>
      <c r="G19" s="5">
        <v>813220.64</v>
      </c>
      <c r="H19" s="5">
        <v>678794.63</v>
      </c>
      <c r="I19" s="5">
        <v>669914.93999999994</v>
      </c>
      <c r="J19" s="5">
        <v>730388.34</v>
      </c>
      <c r="K19" s="5">
        <v>583054.1</v>
      </c>
      <c r="L19" s="5">
        <v>764113.76</v>
      </c>
      <c r="M19" s="13"/>
      <c r="N19" s="13"/>
      <c r="O19" s="14"/>
    </row>
    <row r="20" spans="1:15" x14ac:dyDescent="0.25">
      <c r="G20" s="25"/>
    </row>
    <row r="21" spans="1:15" x14ac:dyDescent="0.25">
      <c r="A21" s="10" t="s">
        <v>36</v>
      </c>
      <c r="B21" s="32">
        <f>SUM(A19:L19)</f>
        <v>9002142.3499999978</v>
      </c>
      <c r="C21" s="22"/>
      <c r="D21" s="22"/>
      <c r="E21" s="22"/>
      <c r="F21" s="23"/>
      <c r="G21" s="10"/>
      <c r="H21" s="10"/>
      <c r="I21" s="23"/>
      <c r="J21" s="22"/>
      <c r="K21" s="22"/>
      <c r="L21" s="22"/>
      <c r="M21" s="22"/>
      <c r="N21" s="22"/>
      <c r="O21" s="22"/>
    </row>
    <row r="22" spans="1:15" x14ac:dyDescent="0.25">
      <c r="A22" s="9"/>
      <c r="B22" s="9"/>
      <c r="C22" s="3"/>
      <c r="D22" s="3"/>
      <c r="E22" s="3"/>
      <c r="F22" s="24"/>
      <c r="G22" s="9"/>
      <c r="H22" s="9"/>
      <c r="I22" s="24"/>
      <c r="J22" s="3"/>
      <c r="K22" s="3"/>
      <c r="L22" s="3"/>
      <c r="M22" s="3"/>
      <c r="N22" s="3"/>
      <c r="O22" s="3"/>
    </row>
    <row r="23" spans="1:15" x14ac:dyDescent="0.25">
      <c r="A23" s="9"/>
      <c r="B23" s="9"/>
      <c r="C23" s="3"/>
      <c r="D23" s="3"/>
      <c r="E23" s="3"/>
      <c r="F23" s="24"/>
      <c r="G23" s="9"/>
      <c r="H23" s="9"/>
      <c r="I23" s="24"/>
      <c r="J23" s="3"/>
      <c r="K23" s="3"/>
      <c r="L23" s="3"/>
      <c r="M23" s="3"/>
      <c r="N23" s="3"/>
      <c r="O23" s="3"/>
    </row>
    <row r="24" spans="1:15" x14ac:dyDescent="0.25">
      <c r="A24" s="9"/>
      <c r="B24" s="9"/>
      <c r="C24" s="3"/>
      <c r="D24" s="3"/>
      <c r="E24" s="3"/>
      <c r="F24" s="24"/>
      <c r="G24" s="9"/>
      <c r="H24" s="9"/>
      <c r="I24" s="24"/>
      <c r="J24" s="3"/>
      <c r="K24" s="3"/>
      <c r="L24" s="3"/>
      <c r="M24" s="3"/>
      <c r="N24" s="3"/>
      <c r="O24" s="3"/>
    </row>
    <row r="25" spans="1:15" x14ac:dyDescent="0.25">
      <c r="A25" s="9"/>
      <c r="B25" s="9"/>
      <c r="C25" s="3"/>
      <c r="D25" s="3"/>
      <c r="E25" s="3"/>
      <c r="F25" s="24"/>
      <c r="G25" s="9"/>
      <c r="H25" s="9"/>
      <c r="I25" s="24"/>
      <c r="J25" s="3"/>
      <c r="K25" s="3"/>
      <c r="L25" s="3"/>
      <c r="M25" s="3"/>
      <c r="N25" s="3"/>
      <c r="O25" s="3"/>
    </row>
  </sheetData>
  <mergeCells count="5">
    <mergeCell ref="C8:D8"/>
    <mergeCell ref="A3:L3"/>
    <mergeCell ref="A4:L4"/>
    <mergeCell ref="A5:L5"/>
    <mergeCell ref="A6:L6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D22" sqref="D22"/>
    </sheetView>
  </sheetViews>
  <sheetFormatPr baseColWidth="10" defaultRowHeight="15" x14ac:dyDescent="0.25"/>
  <cols>
    <col min="1" max="5" width="11.42578125" style="11"/>
    <col min="6" max="6" width="16.42578125" style="11" bestFit="1" customWidth="1"/>
    <col min="7" max="16384" width="11.42578125" style="11"/>
  </cols>
  <sheetData>
    <row r="2" spans="1:35" x14ac:dyDescent="0.25">
      <c r="A2" s="11" t="s">
        <v>107</v>
      </c>
    </row>
    <row r="4" spans="1:35" s="52" customFormat="1" x14ac:dyDescent="0.25">
      <c r="A4" s="52" t="s">
        <v>44</v>
      </c>
      <c r="E4" s="52">
        <v>36</v>
      </c>
      <c r="F4" s="53">
        <f>F11*E4%</f>
        <v>5065292198.0591993</v>
      </c>
      <c r="G4" s="54">
        <v>2211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x14ac:dyDescent="0.25">
      <c r="A5" s="49" t="s">
        <v>45</v>
      </c>
      <c r="E5" s="49">
        <v>9</v>
      </c>
      <c r="F5" s="50">
        <f>F11*E5%</f>
        <v>1266323049.5147998</v>
      </c>
      <c r="G5" s="51">
        <v>2212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x14ac:dyDescent="0.25">
      <c r="A6" s="49" t="s">
        <v>48</v>
      </c>
      <c r="B6" s="49"/>
      <c r="C6" s="49"/>
      <c r="D6" s="49"/>
      <c r="E6" s="49">
        <v>4</v>
      </c>
      <c r="F6" s="50">
        <f>F11*E6%</f>
        <v>562810244.22879994</v>
      </c>
      <c r="G6" s="51">
        <v>2212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x14ac:dyDescent="0.25">
      <c r="A7" s="58" t="s">
        <v>47</v>
      </c>
      <c r="E7" s="58">
        <v>25</v>
      </c>
      <c r="F7" s="59">
        <f>F11*E7%</f>
        <v>3517564026.4299998</v>
      </c>
      <c r="G7" s="60">
        <v>2236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x14ac:dyDescent="0.25">
      <c r="A8" s="74" t="s">
        <v>46</v>
      </c>
      <c r="B8" s="74"/>
      <c r="C8" s="74"/>
      <c r="D8" s="74"/>
      <c r="E8" s="74">
        <v>5</v>
      </c>
      <c r="F8" s="75">
        <f>F11*E8%</f>
        <v>703512805.28600001</v>
      </c>
      <c r="G8" s="76">
        <v>2247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74" t="s">
        <v>50</v>
      </c>
      <c r="B9" s="74"/>
      <c r="C9" s="74"/>
      <c r="D9" s="74"/>
      <c r="E9" s="74">
        <v>13</v>
      </c>
      <c r="F9" s="75">
        <f>F11*E9%</f>
        <v>1829133293.7435999</v>
      </c>
      <c r="G9" s="76">
        <v>2247</v>
      </c>
    </row>
    <row r="10" spans="1:35" s="74" customFormat="1" x14ac:dyDescent="0.25">
      <c r="A10" s="44" t="s">
        <v>49</v>
      </c>
      <c r="B10" s="44"/>
      <c r="C10" s="44"/>
      <c r="D10" s="44"/>
      <c r="E10" s="44">
        <v>8</v>
      </c>
      <c r="F10" s="45">
        <f>F11*E10%</f>
        <v>1125620488.4575999</v>
      </c>
      <c r="G10" s="46">
        <v>2275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f>SUM(E4:E10)</f>
        <v>100</v>
      </c>
      <c r="F11" s="43">
        <f>+'[1]METRO VENTAS Y COMP '!$B$134</f>
        <v>14070256105.719999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workbookViewId="0">
      <selection activeCell="B18" sqref="B18:F18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113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94"/>
      <c r="B9" s="94"/>
      <c r="C9" s="94"/>
      <c r="D9" s="94"/>
      <c r="E9" s="94"/>
      <c r="F9" s="87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94" t="s">
        <v>13</v>
      </c>
      <c r="B10" s="104" t="s">
        <v>14</v>
      </c>
      <c r="C10" s="104"/>
      <c r="D10" s="9"/>
      <c r="E10" s="9"/>
      <c r="F10" s="88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81">
        <f>+B19*B17</f>
        <v>42567489.275399998</v>
      </c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82">
        <f>+C19*C17</f>
        <v>34586085.036262497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82">
        <f>+D19*D17</f>
        <v>33994869.907437496</v>
      </c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82">
        <f>+E19*E17</f>
        <v>21283744.637700003</v>
      </c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82">
        <f>+F19*F17</f>
        <v>21283744.637699999</v>
      </c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89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80">
        <v>0.01</v>
      </c>
      <c r="C17" s="29">
        <v>2.2499999999999999E-2</v>
      </c>
      <c r="D17" s="29">
        <v>1.15E-2</v>
      </c>
      <c r="E17" s="80">
        <v>0.01</v>
      </c>
      <c r="F17" s="29">
        <v>2.2499999999999999E-2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2</v>
      </c>
      <c r="B19" s="5">
        <f>+'04-2021 '!F4</f>
        <v>4256748927.54</v>
      </c>
      <c r="C19" s="5">
        <f>+'04-2021 '!F5+'04-2021 '!F6</f>
        <v>1537159334.9449999</v>
      </c>
      <c r="D19" s="5">
        <f>+'04-2021 '!F7</f>
        <v>2956075644.125</v>
      </c>
      <c r="E19" s="5">
        <f>+'04-2021 '!F8+'04-2021 '!F9</f>
        <v>2128374463.7700002</v>
      </c>
      <c r="F19" s="5">
        <f>+'04-2021 '!F10</f>
        <v>945944206.12</v>
      </c>
      <c r="G19" s="5">
        <f t="shared" ref="G19" si="0">+B19+C19+D19+E19+F19</f>
        <v>11824302576.500002</v>
      </c>
    </row>
    <row r="20" spans="1:14" x14ac:dyDescent="0.25">
      <c r="A20" s="39" t="s">
        <v>24</v>
      </c>
      <c r="B20" s="40">
        <f t="shared" ref="B20:G20" si="1">SUM(B19:B19)</f>
        <v>4256748927.54</v>
      </c>
      <c r="C20" s="40">
        <f t="shared" si="1"/>
        <v>1537159334.9449999</v>
      </c>
      <c r="D20" s="40">
        <f t="shared" si="1"/>
        <v>2956075644.125</v>
      </c>
      <c r="E20" s="40">
        <f t="shared" si="1"/>
        <v>2128374463.7700002</v>
      </c>
      <c r="F20" s="40">
        <f t="shared" si="1"/>
        <v>945944206.12</v>
      </c>
      <c r="G20" s="40">
        <f t="shared" si="1"/>
        <v>11824302576.500002</v>
      </c>
    </row>
    <row r="21" spans="1:14" x14ac:dyDescent="0.25">
      <c r="F21" s="25"/>
    </row>
    <row r="23" spans="1:14" x14ac:dyDescent="0.25">
      <c r="B23" s="36">
        <f>+F11</f>
        <v>42567489.275399998</v>
      </c>
      <c r="C23" s="36">
        <f>+F12</f>
        <v>34586085.036262497</v>
      </c>
      <c r="D23" s="36">
        <f>+F13</f>
        <v>33994869.907437496</v>
      </c>
      <c r="E23" s="36">
        <f>+F14</f>
        <v>21283744.637700003</v>
      </c>
      <c r="F23" s="36">
        <f>+F15</f>
        <v>21283744.637699999</v>
      </c>
      <c r="G23" s="36">
        <f>SUM(B23:F23)</f>
        <v>153715933.49450001</v>
      </c>
    </row>
    <row r="25" spans="1:14" x14ac:dyDescent="0.25">
      <c r="F25" s="91" t="s">
        <v>110</v>
      </c>
      <c r="G25" s="36">
        <f>+G23*5%</f>
        <v>7685796.6747250007</v>
      </c>
      <c r="H25" s="90">
        <v>0.05</v>
      </c>
    </row>
    <row r="27" spans="1:14" x14ac:dyDescent="0.25">
      <c r="F27" s="92" t="s">
        <v>111</v>
      </c>
      <c r="G27" s="93">
        <f>+G23-G25</f>
        <v>146030136.81977502</v>
      </c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"/>
  <sheetViews>
    <sheetView workbookViewId="0">
      <selection activeCell="E5" sqref="E5"/>
    </sheetView>
  </sheetViews>
  <sheetFormatPr baseColWidth="10" defaultRowHeight="15" x14ac:dyDescent="0.25"/>
  <cols>
    <col min="1" max="5" width="11.42578125" style="11"/>
    <col min="6" max="6" width="16.42578125" style="11" bestFit="1" customWidth="1"/>
    <col min="7" max="16384" width="11.42578125" style="11"/>
  </cols>
  <sheetData>
    <row r="2" spans="1:35" x14ac:dyDescent="0.25">
      <c r="A2" s="11" t="s">
        <v>107</v>
      </c>
    </row>
    <row r="4" spans="1:35" s="52" customFormat="1" x14ac:dyDescent="0.25">
      <c r="A4" s="52" t="s">
        <v>44</v>
      </c>
      <c r="E4" s="52">
        <v>36</v>
      </c>
      <c r="F4" s="53">
        <f>F11*E4%</f>
        <v>4256748927.54</v>
      </c>
      <c r="G4" s="54">
        <v>2211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s="49" customFormat="1" x14ac:dyDescent="0.25">
      <c r="A5" s="49" t="s">
        <v>45</v>
      </c>
      <c r="E5" s="49">
        <v>9</v>
      </c>
      <c r="F5" s="50">
        <f>F11*E5%</f>
        <v>1064187231.885</v>
      </c>
      <c r="G5" s="51">
        <v>2212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s="74" customFormat="1" x14ac:dyDescent="0.25">
      <c r="A6" s="49" t="s">
        <v>48</v>
      </c>
      <c r="B6" s="49"/>
      <c r="C6" s="49"/>
      <c r="D6" s="49"/>
      <c r="E6" s="49">
        <v>4</v>
      </c>
      <c r="F6" s="50">
        <f>F11*E6%</f>
        <v>472972103.06</v>
      </c>
      <c r="G6" s="51">
        <v>2212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8" customFormat="1" x14ac:dyDescent="0.25">
      <c r="A7" s="58" t="s">
        <v>47</v>
      </c>
      <c r="E7" s="58">
        <v>25</v>
      </c>
      <c r="F7" s="59">
        <f>F11*E7%</f>
        <v>2956075644.125</v>
      </c>
      <c r="G7" s="60">
        <v>2236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49" customFormat="1" x14ac:dyDescent="0.25">
      <c r="A8" s="74" t="s">
        <v>46</v>
      </c>
      <c r="B8" s="74"/>
      <c r="C8" s="74"/>
      <c r="D8" s="74"/>
      <c r="E8" s="74">
        <v>5</v>
      </c>
      <c r="F8" s="75">
        <f>F11*E8%</f>
        <v>591215128.82500005</v>
      </c>
      <c r="G8" s="76">
        <v>2247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74" t="s">
        <v>50</v>
      </c>
      <c r="B9" s="74"/>
      <c r="C9" s="74"/>
      <c r="D9" s="74"/>
      <c r="E9" s="74">
        <v>13</v>
      </c>
      <c r="F9" s="75">
        <f>F11*E9%</f>
        <v>1537159334.9450002</v>
      </c>
      <c r="G9" s="76">
        <v>2247</v>
      </c>
    </row>
    <row r="10" spans="1:35" s="74" customFormat="1" x14ac:dyDescent="0.25">
      <c r="A10" s="44" t="s">
        <v>49</v>
      </c>
      <c r="B10" s="44"/>
      <c r="C10" s="44"/>
      <c r="D10" s="44"/>
      <c r="E10" s="44">
        <v>8</v>
      </c>
      <c r="F10" s="45">
        <f>F11*E10%</f>
        <v>945944206.12</v>
      </c>
      <c r="G10" s="46">
        <v>2275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D11" s="11" t="s">
        <v>51</v>
      </c>
      <c r="E11" s="11">
        <f>SUM(E4:E10)</f>
        <v>100</v>
      </c>
      <c r="F11" s="43">
        <f>+'[1]METRO VENTAS Y COMP '!$B$132</f>
        <v>11824302576.5</v>
      </c>
      <c r="G11" s="11" t="s">
        <v>52</v>
      </c>
    </row>
    <row r="12" spans="1:35" x14ac:dyDescent="0.25">
      <c r="D12" s="11" t="s">
        <v>53</v>
      </c>
      <c r="F12" s="43">
        <v>0</v>
      </c>
      <c r="G12" s="11" t="s">
        <v>54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7"/>
  <sheetViews>
    <sheetView workbookViewId="0">
      <selection activeCell="F14" sqref="F14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104" t="s">
        <v>18</v>
      </c>
      <c r="B5" s="104"/>
      <c r="C5" s="104"/>
      <c r="D5" s="104"/>
      <c r="E5" s="104"/>
      <c r="F5" s="104"/>
      <c r="G5" s="104"/>
      <c r="H5" s="15"/>
      <c r="I5" s="15"/>
      <c r="J5" s="15"/>
      <c r="K5" s="15"/>
      <c r="L5" s="15"/>
      <c r="M5" s="15"/>
      <c r="N5" s="15"/>
    </row>
    <row r="6" spans="1:14" ht="15.75" x14ac:dyDescent="0.25">
      <c r="A6" s="104" t="s">
        <v>19</v>
      </c>
      <c r="B6" s="104"/>
      <c r="C6" s="104"/>
      <c r="D6" s="104"/>
      <c r="E6" s="104"/>
      <c r="F6" s="104"/>
      <c r="G6" s="104"/>
      <c r="H6" s="15"/>
      <c r="I6" s="15"/>
      <c r="J6" s="15"/>
      <c r="K6" s="15"/>
      <c r="L6" s="15"/>
      <c r="M6" s="15"/>
      <c r="N6" s="15"/>
    </row>
    <row r="7" spans="1:14" ht="15.75" x14ac:dyDescent="0.25">
      <c r="A7" s="104" t="s">
        <v>12</v>
      </c>
      <c r="B7" s="104"/>
      <c r="C7" s="104"/>
      <c r="D7" s="104"/>
      <c r="E7" s="104"/>
      <c r="F7" s="104"/>
      <c r="G7" s="104"/>
      <c r="H7" s="15"/>
      <c r="I7" s="15"/>
      <c r="J7" s="15"/>
      <c r="K7" s="15"/>
      <c r="L7" s="15"/>
      <c r="M7" s="15"/>
      <c r="N7" s="15"/>
    </row>
    <row r="8" spans="1:14" ht="15.75" x14ac:dyDescent="0.25">
      <c r="A8" s="104" t="s">
        <v>112</v>
      </c>
      <c r="B8" s="104"/>
      <c r="C8" s="104"/>
      <c r="D8" s="104"/>
      <c r="E8" s="104"/>
      <c r="F8" s="104"/>
      <c r="G8" s="104"/>
      <c r="H8" s="15"/>
      <c r="I8" s="15"/>
      <c r="J8" s="15"/>
      <c r="K8" s="15"/>
      <c r="L8" s="15"/>
      <c r="M8" s="15"/>
      <c r="N8" s="15"/>
    </row>
    <row r="9" spans="1:14" ht="15.75" x14ac:dyDescent="0.25">
      <c r="A9" s="86"/>
      <c r="B9" s="86"/>
      <c r="C9" s="86"/>
      <c r="D9" s="86"/>
      <c r="E9" s="86"/>
      <c r="F9" s="87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86" t="s">
        <v>13</v>
      </c>
      <c r="B10" s="104" t="s">
        <v>14</v>
      </c>
      <c r="C10" s="104"/>
      <c r="D10" s="9"/>
      <c r="E10" s="9"/>
      <c r="F10" s="88"/>
      <c r="G10" s="9"/>
      <c r="H10" s="9"/>
      <c r="I10" s="9"/>
      <c r="J10" s="9"/>
      <c r="K10" s="9"/>
      <c r="L10" s="9"/>
      <c r="M10" s="9"/>
    </row>
    <row r="11" spans="1:14" s="11" customFormat="1" x14ac:dyDescent="0.25">
      <c r="A11" s="10">
        <v>2211</v>
      </c>
      <c r="B11" s="22" t="s">
        <v>17</v>
      </c>
      <c r="C11" s="22"/>
      <c r="D11" s="22"/>
      <c r="E11" s="22"/>
      <c r="F11" s="81">
        <f>+B19*B17</f>
        <v>63159520.707144007</v>
      </c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9">
        <v>2212</v>
      </c>
      <c r="B12" s="3" t="s">
        <v>20</v>
      </c>
      <c r="C12" s="3"/>
      <c r="D12" s="3"/>
      <c r="E12" s="3"/>
      <c r="F12" s="82">
        <f>+C19*C17</f>
        <v>48616210.017999001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9">
        <v>2236</v>
      </c>
      <c r="B13" s="3" t="s">
        <v>21</v>
      </c>
      <c r="C13" s="3"/>
      <c r="D13" s="3"/>
      <c r="E13" s="3"/>
      <c r="F13" s="82">
        <f>+D19*D17</f>
        <v>47785163.692905001</v>
      </c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9">
        <v>2247</v>
      </c>
      <c r="B14" s="3" t="s">
        <v>22</v>
      </c>
      <c r="C14" s="3"/>
      <c r="D14" s="3"/>
      <c r="E14" s="3"/>
      <c r="F14" s="82">
        <f>+E19*E17</f>
        <v>26593482.403007999</v>
      </c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9">
        <v>2275</v>
      </c>
      <c r="B15" s="3" t="s">
        <v>23</v>
      </c>
      <c r="C15" s="3"/>
      <c r="D15" s="3"/>
      <c r="E15" s="3"/>
      <c r="F15" s="82">
        <f>+F19*F17</f>
        <v>29917667.703384001</v>
      </c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9"/>
      <c r="B16" s="3"/>
      <c r="C16" s="3"/>
      <c r="D16" s="3"/>
      <c r="E16" s="3"/>
      <c r="F16" s="89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80">
        <v>0.01</v>
      </c>
      <c r="C17" s="29">
        <v>2.2499999999999999E-2</v>
      </c>
      <c r="D17" s="29">
        <v>1.15E-2</v>
      </c>
      <c r="E17" s="80">
        <v>0.01</v>
      </c>
      <c r="F17" s="29">
        <v>2.2499999999999999E-2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15</v>
      </c>
      <c r="B18" s="2">
        <v>2211</v>
      </c>
      <c r="C18" s="2">
        <v>2212</v>
      </c>
      <c r="D18" s="2">
        <v>2236</v>
      </c>
      <c r="E18" s="2">
        <v>2247</v>
      </c>
      <c r="F18" s="2">
        <v>2275</v>
      </c>
      <c r="G18" s="2" t="s">
        <v>25</v>
      </c>
      <c r="H18" s="12"/>
      <c r="I18" s="12"/>
      <c r="J18" s="12"/>
      <c r="K18" s="12"/>
      <c r="L18" s="12"/>
      <c r="M18" s="12"/>
      <c r="N18" s="12"/>
    </row>
    <row r="19" spans="1:14" x14ac:dyDescent="0.25">
      <c r="A19" s="4" t="s">
        <v>2</v>
      </c>
      <c r="B19" s="5">
        <f>+'03-2021'!F4</f>
        <v>6315952070.7144003</v>
      </c>
      <c r="C19" s="5">
        <f>+'03-2021'!F5+'03-2021'!F6</f>
        <v>2160720445.2444</v>
      </c>
      <c r="D19" s="5">
        <f>+'03-2021'!F7</f>
        <v>4155231625.4700003</v>
      </c>
      <c r="E19" s="5">
        <f>+'03-2021'!F8+'03-2021'!F9</f>
        <v>2659348240.3007998</v>
      </c>
      <c r="F19" s="5">
        <f>+'03-2021'!F10</f>
        <v>1329674120.1504002</v>
      </c>
      <c r="G19" s="5">
        <f t="shared" ref="G19" si="0">+B19+C19+D19+E19+F19</f>
        <v>16620926501.880001</v>
      </c>
    </row>
    <row r="20" spans="1:14" x14ac:dyDescent="0.25">
      <c r="A20" s="39" t="s">
        <v>24</v>
      </c>
      <c r="B20" s="40">
        <f t="shared" ref="B20:G20" si="1">SUM(B19:B19)</f>
        <v>6315952070.7144003</v>
      </c>
      <c r="C20" s="40">
        <f t="shared" si="1"/>
        <v>2160720445.2444</v>
      </c>
      <c r="D20" s="40">
        <f t="shared" si="1"/>
        <v>4155231625.4700003</v>
      </c>
      <c r="E20" s="40">
        <f t="shared" si="1"/>
        <v>2659348240.3007998</v>
      </c>
      <c r="F20" s="40">
        <f t="shared" si="1"/>
        <v>1329674120.1504002</v>
      </c>
      <c r="G20" s="40">
        <f t="shared" si="1"/>
        <v>16620926501.880001</v>
      </c>
    </row>
    <row r="21" spans="1:14" x14ac:dyDescent="0.25">
      <c r="F21" s="25"/>
    </row>
    <row r="23" spans="1:14" x14ac:dyDescent="0.25">
      <c r="B23" s="36">
        <f>+F11</f>
        <v>63159520.707144007</v>
      </c>
      <c r="C23" s="36">
        <f>+F12</f>
        <v>48616210.017999001</v>
      </c>
      <c r="D23" s="36">
        <f>+F13</f>
        <v>47785163.692905001</v>
      </c>
      <c r="E23" s="36">
        <f>+F14</f>
        <v>26593482.403007999</v>
      </c>
      <c r="F23" s="36">
        <f>+F15</f>
        <v>29917667.703384001</v>
      </c>
      <c r="G23" s="36">
        <f>SUM(B23:F23)</f>
        <v>216072044.52444002</v>
      </c>
    </row>
    <row r="25" spans="1:14" x14ac:dyDescent="0.25">
      <c r="F25" s="91" t="s">
        <v>110</v>
      </c>
      <c r="G25" s="36">
        <f>+G23*5%</f>
        <v>10803602.226222001</v>
      </c>
      <c r="H25" s="90">
        <v>0.05</v>
      </c>
    </row>
    <row r="27" spans="1:14" x14ac:dyDescent="0.25">
      <c r="F27" s="92" t="s">
        <v>111</v>
      </c>
      <c r="G27" s="93">
        <f>+G23-G25</f>
        <v>205268442.29821801</v>
      </c>
    </row>
  </sheetData>
  <mergeCells count="5">
    <mergeCell ref="A5:G5"/>
    <mergeCell ref="A6:G6"/>
    <mergeCell ref="A7:G7"/>
    <mergeCell ref="A8:G8"/>
    <mergeCell ref="B10:C10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53</vt:i4>
      </vt:variant>
    </vt:vector>
  </HeadingPairs>
  <TitlesOfParts>
    <vt:vector size="53" baseType="lpstr">
      <vt:lpstr>RELACION DE ING MES 07-2021 </vt:lpstr>
      <vt:lpstr>07-2021 </vt:lpstr>
      <vt:lpstr>RELACION DE ING MES 06-2021</vt:lpstr>
      <vt:lpstr>06-2021  </vt:lpstr>
      <vt:lpstr>RELACION DE ING MES 05-2021</vt:lpstr>
      <vt:lpstr>05-2021  </vt:lpstr>
      <vt:lpstr>RELACION DE ING MES 04-2021</vt:lpstr>
      <vt:lpstr>04-2021 </vt:lpstr>
      <vt:lpstr>RELACION DE ING MES 03-2021</vt:lpstr>
      <vt:lpstr>03-2021</vt:lpstr>
      <vt:lpstr>RELACION DE ING MES 02-2021</vt:lpstr>
      <vt:lpstr>02-2021</vt:lpstr>
      <vt:lpstr>RELACION DE ING MES 01-2021</vt:lpstr>
      <vt:lpstr>01-2021</vt:lpstr>
      <vt:lpstr>RELACION DE ING MES 12-2020</vt:lpstr>
      <vt:lpstr>12-2020</vt:lpstr>
      <vt:lpstr>RELACION DE ING MES 11-2020 </vt:lpstr>
      <vt:lpstr>11-2020 </vt:lpstr>
      <vt:lpstr>RELACION DE ING MES 10-2020</vt:lpstr>
      <vt:lpstr>10-2020 </vt:lpstr>
      <vt:lpstr>RELACION DE ING MES 09-2020</vt:lpstr>
      <vt:lpstr>09-2020  </vt:lpstr>
      <vt:lpstr>RELACION DE ING MES 08-2020</vt:lpstr>
      <vt:lpstr>08-2020 </vt:lpstr>
      <vt:lpstr>RELACION DE ING MES 07-2020</vt:lpstr>
      <vt:lpstr>07-2020 </vt:lpstr>
      <vt:lpstr>RELACION DE ING TRIM 02-2020</vt:lpstr>
      <vt:lpstr>02-2020</vt:lpstr>
      <vt:lpstr>RELACION DE ING TRIM 01-2020</vt:lpstr>
      <vt:lpstr>01-2020</vt:lpstr>
      <vt:lpstr>RELACION DE ING TRIM 04-2019</vt:lpstr>
      <vt:lpstr>04-2019</vt:lpstr>
      <vt:lpstr>RELACION DE ING TRIM 03-2019</vt:lpstr>
      <vt:lpstr>03-2019</vt:lpstr>
      <vt:lpstr>RELACION DE ING TRIM 02-2019</vt:lpstr>
      <vt:lpstr>02-2019</vt:lpstr>
      <vt:lpstr>RELACION DE ING TRIM 01-2019</vt:lpstr>
      <vt:lpstr>01-2019</vt:lpstr>
      <vt:lpstr>RELACION DE ING TRIM 04-2018</vt:lpstr>
      <vt:lpstr>04-2018 </vt:lpstr>
      <vt:lpstr>RELACION DE ING TRIM 03-2018</vt:lpstr>
      <vt:lpstr>03-2018</vt:lpstr>
      <vt:lpstr>RELACION DE ING TRIM 02-2018</vt:lpstr>
      <vt:lpstr>02-2018</vt:lpstr>
      <vt:lpstr>RELACION DE ING TRIM 01-2018</vt:lpstr>
      <vt:lpstr>01-2018</vt:lpstr>
      <vt:lpstr>RELACION DE ING 2017</vt:lpstr>
      <vt:lpstr>RELACION DE ING 2016 </vt:lpstr>
      <vt:lpstr>RELACION DE ING 2015</vt:lpstr>
      <vt:lpstr>RELACION DE ING 2014</vt:lpstr>
      <vt:lpstr>RELACION DE ING 2013</vt:lpstr>
      <vt:lpstr>RELACION DE ING 2012</vt:lpstr>
      <vt:lpstr>RELACION DE ING 2011</vt:lpstr>
    </vt:vector>
  </TitlesOfParts>
  <Company>Diario Avance de Los Teques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Contaduria</cp:lastModifiedBy>
  <cp:lastPrinted>2021-07-05T13:04:05Z</cp:lastPrinted>
  <dcterms:created xsi:type="dcterms:W3CDTF">2012-02-09T13:07:09Z</dcterms:created>
  <dcterms:modified xsi:type="dcterms:W3CDTF">2021-08-04T14:50:50Z</dcterms:modified>
</cp:coreProperties>
</file>