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FRANYER\"/>
    </mc:Choice>
  </mc:AlternateContent>
  <bookViews>
    <workbookView xWindow="0" yWindow="0" windowWidth="15360" windowHeight="7650" activeTab="2"/>
  </bookViews>
  <sheets>
    <sheet name="Hoja1" sheetId="1" r:id="rId1"/>
    <sheet name="Hoja3" sheetId="3" r:id="rId2"/>
    <sheet name="Hoja2" sheetId="2" r:id="rId3"/>
  </sheets>
  <definedNames>
    <definedName name="_xlnm._FilterDatabase" localSheetId="2" hidden="1">Hoja2!$A$8:$J$8</definedName>
    <definedName name="_xlnm._FilterDatabase" localSheetId="1" hidden="1">Hoja3!$A$6:$G$6</definedName>
  </definedNames>
  <calcPr calcId="162913"/>
</workbook>
</file>

<file path=xl/calcChain.xml><?xml version="1.0" encoding="utf-8"?>
<calcChain xmlns="http://schemas.openxmlformats.org/spreadsheetml/2006/main">
  <c r="H11" i="2" l="1"/>
  <c r="E60" i="2"/>
  <c r="E66" i="1"/>
  <c r="G62" i="1"/>
  <c r="C25" i="2"/>
  <c r="J32" i="2"/>
  <c r="J33" i="2"/>
  <c r="J40" i="2"/>
  <c r="J41" i="2"/>
  <c r="J48" i="2"/>
  <c r="J49" i="2"/>
  <c r="J56" i="2"/>
  <c r="J57" i="2"/>
  <c r="J64" i="2"/>
  <c r="J65" i="2"/>
  <c r="J72" i="2"/>
  <c r="J73" i="2"/>
  <c r="H17" i="2"/>
  <c r="G10" i="2"/>
  <c r="J10" i="2" s="1"/>
  <c r="G11" i="2"/>
  <c r="G12" i="2"/>
  <c r="J12" i="2" s="1"/>
  <c r="G13" i="2"/>
  <c r="J13" i="2" s="1"/>
  <c r="G14" i="2"/>
  <c r="J14" i="2" s="1"/>
  <c r="G15" i="2"/>
  <c r="H15" i="2" s="1"/>
  <c r="G16" i="2"/>
  <c r="J16" i="2" s="1"/>
  <c r="G17" i="2"/>
  <c r="J17" i="2" s="1"/>
  <c r="G18" i="2"/>
  <c r="J18" i="2" s="1"/>
  <c r="G19" i="2"/>
  <c r="H19" i="2" s="1"/>
  <c r="G20" i="2"/>
  <c r="J20" i="2" s="1"/>
  <c r="G21" i="2"/>
  <c r="J21" i="2" s="1"/>
  <c r="G22" i="2"/>
  <c r="J22" i="2" s="1"/>
  <c r="G23" i="2"/>
  <c r="H23" i="2" s="1"/>
  <c r="G24" i="2"/>
  <c r="J24" i="2" s="1"/>
  <c r="G25" i="2"/>
  <c r="H25" i="2" s="1"/>
  <c r="G26" i="2"/>
  <c r="J26" i="2" s="1"/>
  <c r="G27" i="2"/>
  <c r="H27" i="2" s="1"/>
  <c r="G28" i="2"/>
  <c r="G30" i="2"/>
  <c r="J30" i="2" s="1"/>
  <c r="G31" i="2"/>
  <c r="J31" i="2" s="1"/>
  <c r="G32" i="2"/>
  <c r="H32" i="2" s="1"/>
  <c r="G33" i="2"/>
  <c r="H33" i="2" s="1"/>
  <c r="G34" i="2"/>
  <c r="J34" i="2" s="1"/>
  <c r="G35" i="2"/>
  <c r="J35" i="2" s="1"/>
  <c r="G36" i="2"/>
  <c r="G37" i="2"/>
  <c r="H37" i="2" s="1"/>
  <c r="G38" i="2"/>
  <c r="J38" i="2" s="1"/>
  <c r="G39" i="2"/>
  <c r="H39" i="2" s="1"/>
  <c r="G40" i="2"/>
  <c r="H40" i="2" s="1"/>
  <c r="G41" i="2"/>
  <c r="H41" i="2" s="1"/>
  <c r="G42" i="2"/>
  <c r="J42" i="2" s="1"/>
  <c r="G43" i="2"/>
  <c r="J43" i="2" s="1"/>
  <c r="G44" i="2"/>
  <c r="H44" i="2" s="1"/>
  <c r="G45" i="2"/>
  <c r="H45" i="2" s="1"/>
  <c r="G46" i="2"/>
  <c r="J46" i="2" s="1"/>
  <c r="G47" i="2"/>
  <c r="H47" i="2" s="1"/>
  <c r="G48" i="2"/>
  <c r="H48" i="2" s="1"/>
  <c r="G49" i="2"/>
  <c r="G50" i="2"/>
  <c r="J50" i="2" s="1"/>
  <c r="G51" i="2"/>
  <c r="J51" i="2" s="1"/>
  <c r="G52" i="2"/>
  <c r="H52" i="2" s="1"/>
  <c r="G53" i="2"/>
  <c r="H53" i="2" s="1"/>
  <c r="G54" i="2"/>
  <c r="J54" i="2" s="1"/>
  <c r="G55" i="2"/>
  <c r="J55" i="2" s="1"/>
  <c r="G56" i="2"/>
  <c r="G57" i="2"/>
  <c r="H57" i="2" s="1"/>
  <c r="G58" i="2"/>
  <c r="J58" i="2" s="1"/>
  <c r="G59" i="2"/>
  <c r="G60" i="2"/>
  <c r="H60" i="2" s="1"/>
  <c r="G61" i="2"/>
  <c r="G62" i="2"/>
  <c r="J62" i="2" s="1"/>
  <c r="G63" i="2"/>
  <c r="J63" i="2" s="1"/>
  <c r="G64" i="2"/>
  <c r="H64" i="2" s="1"/>
  <c r="G65" i="2"/>
  <c r="H65" i="2" s="1"/>
  <c r="G66" i="2"/>
  <c r="J66" i="2" s="1"/>
  <c r="G67" i="2"/>
  <c r="H67" i="2" s="1"/>
  <c r="G68" i="2"/>
  <c r="H68" i="2" s="1"/>
  <c r="G69" i="2"/>
  <c r="H69" i="2" s="1"/>
  <c r="G70" i="2"/>
  <c r="J70" i="2" s="1"/>
  <c r="G71" i="2"/>
  <c r="J71" i="2" s="1"/>
  <c r="G72" i="2"/>
  <c r="G73" i="2"/>
  <c r="H73" i="2" s="1"/>
  <c r="G74" i="2"/>
  <c r="J74" i="2" s="1"/>
  <c r="G9" i="2"/>
  <c r="H9" i="2" s="1"/>
  <c r="D29" i="2"/>
  <c r="G29" i="2" s="1"/>
  <c r="H22" i="2" l="1"/>
  <c r="H21" i="2"/>
  <c r="J69" i="2"/>
  <c r="J61" i="2"/>
  <c r="J53" i="2"/>
  <c r="J45" i="2"/>
  <c r="J37" i="2"/>
  <c r="J28" i="2"/>
  <c r="H18" i="2"/>
  <c r="J68" i="2"/>
  <c r="J60" i="2"/>
  <c r="J52" i="2"/>
  <c r="J44" i="2"/>
  <c r="J36" i="2"/>
  <c r="J29" i="2"/>
  <c r="H29" i="2"/>
  <c r="H71" i="2"/>
  <c r="H63" i="2"/>
  <c r="H55" i="2"/>
  <c r="H43" i="2"/>
  <c r="H31" i="2"/>
  <c r="J23" i="2"/>
  <c r="J19" i="2"/>
  <c r="J15" i="2"/>
  <c r="J11" i="2"/>
  <c r="H74" i="2"/>
  <c r="H66" i="2"/>
  <c r="H54" i="2"/>
  <c r="H46" i="2"/>
  <c r="H38" i="2"/>
  <c r="H30" i="2"/>
  <c r="J9" i="2"/>
  <c r="J67" i="2"/>
  <c r="J59" i="2"/>
  <c r="J47" i="2"/>
  <c r="J39" i="2"/>
  <c r="J27" i="2"/>
  <c r="H24" i="2"/>
  <c r="H20" i="2"/>
  <c r="J25" i="2"/>
  <c r="C20" i="1"/>
  <c r="C23" i="1"/>
  <c r="C57" i="1"/>
  <c r="C11" i="1"/>
  <c r="C22" i="1"/>
  <c r="C41" i="1"/>
  <c r="C40" i="1"/>
  <c r="C51" i="1"/>
  <c r="C44" i="1"/>
  <c r="J75" i="2" l="1"/>
  <c r="C49" i="1"/>
  <c r="C24" i="1"/>
  <c r="C16" i="1"/>
  <c r="C30" i="1"/>
  <c r="C8" i="1"/>
  <c r="C62" i="1"/>
  <c r="C19" i="1"/>
  <c r="E19" i="1"/>
  <c r="C28" i="1"/>
  <c r="C46" i="1"/>
  <c r="C47" i="1"/>
  <c r="E112" i="1"/>
  <c r="G112" i="1" s="1"/>
  <c r="C74" i="1"/>
  <c r="C79" i="1"/>
  <c r="C77" i="1"/>
  <c r="C65" i="1"/>
  <c r="C87" i="1"/>
  <c r="C80" i="1"/>
  <c r="C78" i="1"/>
  <c r="C86" i="1"/>
  <c r="H112" i="1" l="1"/>
  <c r="J112" i="1"/>
  <c r="C18" i="1"/>
  <c r="E18" i="1"/>
  <c r="G55" i="1" l="1"/>
  <c r="G63" i="1"/>
  <c r="G13" i="1"/>
  <c r="G108" i="1"/>
  <c r="G10" i="1"/>
  <c r="G64" i="1"/>
  <c r="G48" i="1"/>
  <c r="G96" i="1"/>
  <c r="G92" i="1"/>
  <c r="H92" i="1" s="1"/>
  <c r="G97" i="1"/>
  <c r="G90" i="1"/>
  <c r="G102" i="1"/>
  <c r="G98" i="1"/>
  <c r="G110" i="1"/>
  <c r="G86" i="1"/>
  <c r="G89" i="1"/>
  <c r="G105" i="1"/>
  <c r="G94" i="1"/>
  <c r="G101" i="1"/>
  <c r="G95" i="1"/>
  <c r="G99" i="1"/>
  <c r="G103" i="1"/>
  <c r="G109" i="1"/>
  <c r="G47" i="1"/>
  <c r="G20" i="1"/>
  <c r="G80" i="1"/>
  <c r="G18" i="1"/>
  <c r="G54" i="1"/>
  <c r="G65" i="1"/>
  <c r="G84" i="1"/>
  <c r="G26" i="1"/>
  <c r="G58" i="1"/>
  <c r="G59" i="1"/>
  <c r="G67" i="1"/>
  <c r="G60" i="1"/>
  <c r="G61" i="1"/>
  <c r="G66" i="1"/>
  <c r="G46" i="1"/>
  <c r="G40" i="1"/>
  <c r="G41" i="1"/>
  <c r="G25" i="1"/>
  <c r="G44" i="1"/>
  <c r="G70" i="1"/>
  <c r="G38" i="1"/>
  <c r="G35" i="1"/>
  <c r="G32" i="1"/>
  <c r="G33" i="1"/>
  <c r="G16" i="1"/>
  <c r="G17" i="1"/>
  <c r="G14" i="1"/>
  <c r="G68" i="1"/>
  <c r="G28" i="1"/>
  <c r="G31" i="1"/>
  <c r="G30" i="1"/>
  <c r="G11" i="1"/>
  <c r="G9" i="1"/>
  <c r="G74" i="1"/>
  <c r="G19" i="1"/>
  <c r="G15" i="1"/>
  <c r="G8" i="1"/>
  <c r="G71" i="1"/>
  <c r="G73" i="1"/>
  <c r="G72" i="1"/>
  <c r="G75" i="1"/>
  <c r="H75" i="1" s="1"/>
  <c r="G104" i="1"/>
  <c r="G93" i="1"/>
  <c r="H93" i="1" s="1"/>
  <c r="G77" i="1"/>
  <c r="H77" i="1" s="1"/>
  <c r="G79" i="1"/>
  <c r="H79" i="1" s="1"/>
  <c r="G78" i="1"/>
  <c r="G76" i="1"/>
  <c r="G21" i="1"/>
  <c r="G22" i="1"/>
  <c r="G37" i="1"/>
  <c r="G49" i="1"/>
  <c r="G45" i="1"/>
  <c r="G57" i="1"/>
  <c r="G50" i="1"/>
  <c r="G12" i="1"/>
  <c r="G43" i="1"/>
  <c r="G56" i="1"/>
  <c r="G52" i="1"/>
  <c r="G53" i="1"/>
  <c r="G51" i="1"/>
  <c r="G24" i="1"/>
  <c r="G42" i="1"/>
  <c r="G29" i="1"/>
  <c r="G23" i="1"/>
  <c r="G34" i="1"/>
  <c r="G69" i="1"/>
  <c r="G83" i="1"/>
  <c r="G88" i="1"/>
  <c r="G87" i="1"/>
  <c r="H87" i="1" s="1"/>
  <c r="G39" i="1"/>
  <c r="G85" i="1"/>
  <c r="G36" i="1"/>
  <c r="G82" i="1"/>
  <c r="G91" i="1"/>
  <c r="H91" i="1" s="1"/>
  <c r="G107" i="1"/>
  <c r="G106" i="1"/>
  <c r="G100" i="1"/>
  <c r="G111" i="1"/>
  <c r="G81" i="1"/>
  <c r="G27" i="1"/>
  <c r="J53" i="1" l="1"/>
  <c r="H62" i="1"/>
  <c r="J62" i="1"/>
  <c r="H28" i="1"/>
  <c r="J28" i="1"/>
  <c r="H41" i="1"/>
  <c r="J41" i="1"/>
  <c r="J54" i="1"/>
  <c r="H47" i="1"/>
  <c r="J47" i="1"/>
  <c r="H89" i="1"/>
  <c r="J89" i="1"/>
  <c r="J96" i="1"/>
  <c r="J27" i="1"/>
  <c r="J69" i="1"/>
  <c r="H52" i="1"/>
  <c r="J52" i="1"/>
  <c r="J12" i="1"/>
  <c r="J45" i="1"/>
  <c r="H21" i="1"/>
  <c r="J21" i="1"/>
  <c r="H11" i="1"/>
  <c r="J11" i="1"/>
  <c r="J68" i="1"/>
  <c r="H33" i="1"/>
  <c r="J33" i="1"/>
  <c r="H40" i="1"/>
  <c r="J40" i="1"/>
  <c r="J60" i="1"/>
  <c r="J26" i="1"/>
  <c r="H18" i="1"/>
  <c r="J18" i="1"/>
  <c r="H86" i="1"/>
  <c r="J86" i="1"/>
  <c r="H48" i="1"/>
  <c r="J48" i="1"/>
  <c r="J13" i="1"/>
  <c r="J29" i="1"/>
  <c r="J9" i="1"/>
  <c r="J38" i="1"/>
  <c r="H58" i="1"/>
  <c r="J58" i="1"/>
  <c r="J107" i="1"/>
  <c r="J36" i="1"/>
  <c r="H34" i="1"/>
  <c r="J34" i="1"/>
  <c r="H24" i="1"/>
  <c r="J24" i="1"/>
  <c r="H56" i="1"/>
  <c r="J56" i="1"/>
  <c r="J50" i="1"/>
  <c r="H49" i="1"/>
  <c r="J49" i="1"/>
  <c r="H76" i="1"/>
  <c r="J76" i="1"/>
  <c r="H19" i="1"/>
  <c r="J19" i="1"/>
  <c r="H30" i="1"/>
  <c r="J30" i="1"/>
  <c r="J14" i="1"/>
  <c r="H32" i="1"/>
  <c r="J32" i="1"/>
  <c r="H44" i="1"/>
  <c r="J44" i="1"/>
  <c r="H46" i="1"/>
  <c r="J46" i="1"/>
  <c r="J67" i="1"/>
  <c r="H84" i="1"/>
  <c r="J84" i="1"/>
  <c r="H80" i="1"/>
  <c r="J80" i="1"/>
  <c r="J64" i="1"/>
  <c r="J63" i="1"/>
  <c r="H82" i="1"/>
  <c r="J82" i="1"/>
  <c r="H43" i="1"/>
  <c r="J43" i="1"/>
  <c r="H22" i="1"/>
  <c r="J22" i="1"/>
  <c r="H8" i="1"/>
  <c r="J8" i="1"/>
  <c r="H16" i="1"/>
  <c r="J16" i="1"/>
  <c r="H61" i="1"/>
  <c r="J61" i="1"/>
  <c r="H42" i="1"/>
  <c r="J42" i="1"/>
  <c r="H111" i="1"/>
  <c r="J111" i="1"/>
  <c r="H85" i="1"/>
  <c r="J85" i="1"/>
  <c r="H23" i="1"/>
  <c r="J23" i="1"/>
  <c r="H51" i="1"/>
  <c r="J51" i="1"/>
  <c r="H57" i="1"/>
  <c r="J57" i="1"/>
  <c r="J37" i="1"/>
  <c r="H78" i="1"/>
  <c r="J78" i="1"/>
  <c r="H104" i="1"/>
  <c r="J104" i="1"/>
  <c r="H74" i="1"/>
  <c r="J74" i="1"/>
  <c r="H31" i="1"/>
  <c r="J31" i="1"/>
  <c r="J17" i="1"/>
  <c r="H25" i="1"/>
  <c r="J25" i="1"/>
  <c r="H66" i="1"/>
  <c r="J66" i="1"/>
  <c r="H59" i="1"/>
  <c r="J59" i="1"/>
  <c r="H65" i="1"/>
  <c r="J65" i="1"/>
  <c r="H20" i="1"/>
  <c r="J20" i="1"/>
  <c r="J10" i="1"/>
  <c r="J55" i="1"/>
  <c r="J113" i="1" l="1"/>
</calcChain>
</file>

<file path=xl/connections.xml><?xml version="1.0" encoding="utf-8"?>
<connections xmlns="http://schemas.openxmlformats.org/spreadsheetml/2006/main">
  <connection id="1" name="futeria2707.27.04.22" type="4" refreshedVersion="0" background="1">
    <webPr xml="1" sourceData="1" url="Z:\FRANYER\futeria2707.27.04.22.xml" htmlTables="1" htmlFormat="all"/>
  </connection>
</connections>
</file>

<file path=xl/sharedStrings.xml><?xml version="1.0" encoding="utf-8"?>
<sst xmlns="http://schemas.openxmlformats.org/spreadsheetml/2006/main" count="207" uniqueCount="118">
  <si>
    <t>Columna1</t>
  </si>
  <si>
    <t>ALBAHACA KG</t>
  </si>
  <si>
    <t>PEREJIL RIZADO KG</t>
  </si>
  <si>
    <t>YERBABUENA KG</t>
  </si>
  <si>
    <t>AJO PORRO KG</t>
  </si>
  <si>
    <t>PLATANOS ( USO INTERNO )</t>
  </si>
  <si>
    <t>AJO PELADO KG</t>
  </si>
  <si>
    <t>CHAYOTA KG</t>
  </si>
  <si>
    <t>NISPERO KG</t>
  </si>
  <si>
    <t>JOJOTOS HACIENDA EL CAUJARAL 3UND</t>
  </si>
  <si>
    <t>JOJOTOS 4UND HACIENDA EL CAUJARAL</t>
  </si>
  <si>
    <t>MAIZ DULCE 12 UND EL CAUJARAL</t>
  </si>
  <si>
    <t>PIMENTON EXPRESS (R) KG</t>
  </si>
  <si>
    <t>TOMATE CHERRY 300 GR DOS AGUAS</t>
  </si>
  <si>
    <t>CIBOULETTE DOS AGUAS 20 GR</t>
  </si>
  <si>
    <t>ESPINACA DOS AGUAS</t>
  </si>
  <si>
    <t>BOLSA DE ZANAHORIA</t>
  </si>
  <si>
    <t>REMOLACHA EXPRESS KG (R)</t>
  </si>
  <si>
    <t>ENELDO FINCA DOS AGUAS 20 GR</t>
  </si>
  <si>
    <t>RUGULA 60 GR FINCA DOS AGUAS</t>
  </si>
  <si>
    <t>CHAMPIÑONES FRESCOS POR BANDEJA</t>
  </si>
  <si>
    <t>ZANAHORIA BEBE 250 GR FINCA DOS AGUAS</t>
  </si>
  <si>
    <t>CALABACINES BB 450 GR DOS AGUAS</t>
  </si>
  <si>
    <t>HOJAS DE LECHUGA 115 GR BABY MIX FINCA DOS AGUAS</t>
  </si>
  <si>
    <t>ALFALFA HIDROPONIA 125 GR</t>
  </si>
  <si>
    <t>NARANJA CRIOLLA KG</t>
  </si>
  <si>
    <t>OCUMO CRIOLLO KG</t>
  </si>
  <si>
    <t>PAPA EN MALLA 2 KG</t>
  </si>
  <si>
    <t>PAPA KG</t>
  </si>
  <si>
    <t>PEREJIL LISO KG</t>
  </si>
  <si>
    <t>PIÑA UND</t>
  </si>
  <si>
    <t>PLATANO EN MALLA</t>
  </si>
  <si>
    <t>PLATANO KG (EXPRESS 2707,MODELO,EXQUISITECES)</t>
  </si>
  <si>
    <t>REPOLLO BLANCO KG</t>
  </si>
  <si>
    <t>REPOLLO MORADO KG</t>
  </si>
  <si>
    <t>TAMARINDO DE 500 GR</t>
  </si>
  <si>
    <t>TOMATE KG.</t>
  </si>
  <si>
    <t>VAINITA CRIOLLA KG</t>
  </si>
  <si>
    <t>MANZANA ROJA/VERDE /PERA KG</t>
  </si>
  <si>
    <t>MELON KG</t>
  </si>
  <si>
    <t>LECHOZA O PAPAYA KG</t>
  </si>
  <si>
    <t>LECHUGA AMERICANA KG</t>
  </si>
  <si>
    <t>LIMON KG</t>
  </si>
  <si>
    <t>MANDARINA KG</t>
  </si>
  <si>
    <t>GENJIBRE KG</t>
  </si>
  <si>
    <t>GUAYABA KG</t>
  </si>
  <si>
    <t>ESPARRAGOS UND</t>
  </si>
  <si>
    <t>CILANTRO KG</t>
  </si>
  <si>
    <t>COCO KG</t>
  </si>
  <si>
    <t>CEBOLLA BLANCA KG</t>
  </si>
  <si>
    <t>CEBOLLA MORADA KG</t>
  </si>
  <si>
    <t>CEBOLLIN KG</t>
  </si>
  <si>
    <t>BANDEJA DE JOJOTO EXPRESS 3UND</t>
  </si>
  <si>
    <t>BERENJENA KG</t>
  </si>
  <si>
    <t>CALABACIN KG</t>
  </si>
  <si>
    <t>CAMBUR GUINEO KG</t>
  </si>
  <si>
    <t>AJI DULCE KG</t>
  </si>
  <si>
    <t>AJO EN CONCHA KG</t>
  </si>
  <si>
    <t>AJO PELADO 150 GR EL ANDINITO</t>
  </si>
  <si>
    <t>APIO DE RAIZ KG</t>
  </si>
  <si>
    <t>APIO ESPAÑA/ CELERY KG</t>
  </si>
  <si>
    <t>AUYAMA KG.</t>
  </si>
  <si>
    <t>ENSALADA PICNIC 250GR KELLY"S</t>
  </si>
  <si>
    <t>ENSALADA ITALIANA 250GR KELLY"S</t>
  </si>
  <si>
    <t>ENSALADA SELECTA 350GR KELLY"S</t>
  </si>
  <si>
    <t>RUGULA 80 GR EL ANDINITO</t>
  </si>
  <si>
    <t>AJO PORRO 300 GR VELANDRIA</t>
  </si>
  <si>
    <t>ALFALFA 125 GR BENATURAL</t>
  </si>
  <si>
    <t>AJI DULCE 150 GR EL ANDINITO</t>
  </si>
  <si>
    <t>VAINITA 400 GR CRIOLLA ANDINITO</t>
  </si>
  <si>
    <t>CEBOLLA 3 KG EN MALLA</t>
  </si>
  <si>
    <t>BERRO ATADO 400GR EL ANDINITO</t>
  </si>
  <si>
    <t>OCUMO CHINO KG</t>
  </si>
  <si>
    <t>BATATA KG</t>
  </si>
  <si>
    <t>GUANABANA KG</t>
  </si>
  <si>
    <t>ÑAME KG</t>
  </si>
  <si>
    <t>MANGA KG</t>
  </si>
  <si>
    <t>ZANAHORIA  KG</t>
  </si>
  <si>
    <t>REMOLACHA KG</t>
  </si>
  <si>
    <t>PAPA COLOMBIANA KG</t>
  </si>
  <si>
    <t>AJI PICANTE KG</t>
  </si>
  <si>
    <t>LECHUGA ROMANA KG</t>
  </si>
  <si>
    <t>PIMENTON KG</t>
  </si>
  <si>
    <t>PATILLA KG</t>
  </si>
  <si>
    <t>PEPINO KG</t>
  </si>
  <si>
    <t>PARCHITA KG</t>
  </si>
  <si>
    <t>AGUACATE CHOQUETTE KG</t>
  </si>
  <si>
    <t>LECHUGA CRIOLLA KG</t>
  </si>
  <si>
    <t>BROCOLI KG</t>
  </si>
  <si>
    <t>YUCA KG</t>
  </si>
  <si>
    <t>COLIFLOR KG</t>
  </si>
  <si>
    <t>ACELGA KG</t>
  </si>
  <si>
    <t>COCO CONGELADO</t>
  </si>
  <si>
    <t>TOMATE EN MALLA</t>
  </si>
  <si>
    <t>VERDURA SURTIDA EN MALLA 3 KG</t>
  </si>
  <si>
    <t>VERDURA KG.</t>
  </si>
  <si>
    <t>BOLSA DE TOMATES PARA SALSA</t>
  </si>
  <si>
    <t>ESPINACA KG</t>
  </si>
  <si>
    <t>TOMATE CHERRY 300GR EL ANDINITO</t>
  </si>
  <si>
    <t>GERMINADO CHINO 100 GR BENATURAL</t>
  </si>
  <si>
    <t>RABANO KG</t>
  </si>
  <si>
    <t>BERRO UND</t>
  </si>
  <si>
    <t>TOMATE CHERRY 285 GR DE LOS PRIMOS</t>
  </si>
  <si>
    <t>CONCENTRADO MANGO 500 ML</t>
  </si>
  <si>
    <t>BERENJENA CONGELADA KG</t>
  </si>
  <si>
    <t>CODIGO</t>
  </si>
  <si>
    <t>DESCRIPCION</t>
  </si>
  <si>
    <t>SITEMA</t>
  </si>
  <si>
    <t>FISICO</t>
  </si>
  <si>
    <t>VENTA</t>
  </si>
  <si>
    <t>DIFERENCIA</t>
  </si>
  <si>
    <t>RECEPCION</t>
  </si>
  <si>
    <t>COSTO</t>
  </si>
  <si>
    <t>TOTAL $</t>
  </si>
  <si>
    <t>PAPELON PANELA 450GR</t>
  </si>
  <si>
    <t>TOTAL</t>
  </si>
  <si>
    <t>MERMAS DE EXPRES 2707 DESDE EL 20/04/22 HASTA EL 27/04/22 FRANYER OCHOA</t>
  </si>
  <si>
    <t>PLATANO KG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</si>
</sst>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$-409]#,##0.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8">
    <xf numFmtId="0" fontId="0" fillId="0" borderId="0" xfId="0"/>
    <xf numFmtId="0" fontId="0" fillId="0" borderId="1" xfId="0" applyBorder="1"/>
    <xf numFmtId="49" fontId="0" fillId="0" borderId="1" xfId="0" applyNumberFormat="1" applyBorder="1"/>
    <xf numFmtId="9" fontId="0" fillId="0" borderId="0" xfId="1" applyFont="1"/>
    <xf numFmtId="9" fontId="2" fillId="0" borderId="1" xfId="1" applyFont="1" applyBorder="1"/>
    <xf numFmtId="9" fontId="0" fillId="0" borderId="1" xfId="1" applyFont="1" applyBorder="1"/>
    <xf numFmtId="164" fontId="2" fillId="0" borderId="1" xfId="1" applyNumberFormat="1" applyFont="1" applyBorder="1"/>
    <xf numFmtId="164" fontId="2" fillId="0" borderId="1" xfId="0" applyNumberFormat="1" applyFont="1" applyBorder="1"/>
    <xf numFmtId="164" fontId="0" fillId="0" borderId="1" xfId="1" applyNumberFormat="1" applyFont="1" applyBorder="1"/>
    <xf numFmtId="164" fontId="0" fillId="0" borderId="1" xfId="0" applyNumberFormat="1" applyBorder="1"/>
    <xf numFmtId="2" fontId="2" fillId="0" borderId="1" xfId="0" applyNumberFormat="1" applyFont="1" applyBorder="1"/>
    <xf numFmtId="2" fontId="0" fillId="0" borderId="1" xfId="0" applyNumberFormat="1" applyBorder="1"/>
    <xf numFmtId="1" fontId="2" fillId="0" borderId="1" xfId="0" applyNumberFormat="1" applyFont="1" applyBorder="1"/>
    <xf numFmtId="1" fontId="0" fillId="0" borderId="1" xfId="0" applyNumberFormat="1" applyBorder="1"/>
    <xf numFmtId="1" fontId="0" fillId="0" borderId="0" xfId="0" applyNumberFormat="1"/>
    <xf numFmtId="2" fontId="0" fillId="0" borderId="0" xfId="0" applyNumberFormat="1"/>
    <xf numFmtId="1" fontId="0" fillId="3" borderId="1" xfId="0" applyNumberFormat="1" applyFont="1" applyFill="1" applyBorder="1"/>
    <xf numFmtId="2" fontId="0" fillId="3" borderId="1" xfId="0" applyNumberFormat="1" applyFont="1" applyFill="1" applyBorder="1"/>
    <xf numFmtId="1" fontId="0" fillId="0" borderId="1" xfId="0" applyNumberFormat="1" applyFont="1" applyBorder="1"/>
    <xf numFmtId="2" fontId="0" fillId="0" borderId="1" xfId="0" applyNumberFormat="1" applyFont="1" applyBorder="1"/>
    <xf numFmtId="164" fontId="0" fillId="3" borderId="1" xfId="1" applyNumberFormat="1" applyFont="1" applyFill="1" applyBorder="1"/>
    <xf numFmtId="164" fontId="0" fillId="3" borderId="1" xfId="0" applyNumberFormat="1" applyFont="1" applyFill="1" applyBorder="1"/>
    <xf numFmtId="9" fontId="0" fillId="0" borderId="1" xfId="1" applyNumberFormat="1" applyFont="1" applyBorder="1"/>
    <xf numFmtId="49" fontId="0" fillId="0" borderId="1" xfId="0" applyNumberFormat="1" applyFont="1" applyBorder="1"/>
    <xf numFmtId="0" fontId="0" fillId="0" borderId="1" xfId="0" applyFont="1" applyBorder="1"/>
    <xf numFmtId="1" fontId="0" fillId="0" borderId="0" xfId="0" applyNumberFormat="1" applyBorder="1"/>
    <xf numFmtId="2" fontId="0" fillId="0" borderId="2" xfId="0" applyNumberFormat="1" applyBorder="1"/>
    <xf numFmtId="0" fontId="0" fillId="0" borderId="2" xfId="0" applyBorder="1"/>
    <xf numFmtId="9" fontId="0" fillId="0" borderId="2" xfId="1" applyFont="1" applyBorder="1"/>
    <xf numFmtId="9" fontId="0" fillId="0" borderId="4" xfId="1" applyFont="1" applyBorder="1"/>
    <xf numFmtId="0" fontId="0" fillId="0" borderId="3" xfId="0" applyBorder="1"/>
    <xf numFmtId="2" fontId="0" fillId="0" borderId="3" xfId="0" applyNumberFormat="1" applyBorder="1"/>
    <xf numFmtId="0" fontId="2" fillId="0" borderId="1" xfId="0" applyFont="1" applyBorder="1" applyAlignment="1">
      <alignment horizontal="center"/>
    </xf>
    <xf numFmtId="1" fontId="3" fillId="2" borderId="1" xfId="0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9" fontId="3" fillId="2" borderId="1" xfId="1" applyNumberFormat="1" applyFont="1" applyFill="1" applyBorder="1" applyAlignment="1">
      <alignment horizontal="center"/>
    </xf>
    <xf numFmtId="164" fontId="3" fillId="2" borderId="1" xfId="1" applyNumberFormat="1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</cellXfs>
  <cellStyles count="2">
    <cellStyle name="Normal" xfId="0" builtinId="0"/>
    <cellStyle name="Porcentaje" xfId="1" builtinId="5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</dxf>
    <dxf>
      <numFmt numFmtId="2" formatCode="0.0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" formatCode="0"/>
    </dxf>
    <dxf>
      <font>
        <b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d:schema xmlns:xsd="http://www.w3.org/2001/XMLSchema" xmlns="">
      <xsd:element nillable="true" name="ReporteStellar">
        <xsd:complexType>
          <xsd:sequence minOccurs="0">
            <xsd:element minOccurs="0" maxOccurs="unbounded" nillable="true" name="Registro" form="unqualified">
              <xsd:complexType>
                <xsd:sequence minOccurs="0">
                  <xsd:element minOccurs="0" nillable="true" type="xsd:string" name="Codigo" form="unqualified"/>
                  <xsd:element minOccurs="0" nillable="true" type="xsd:string" name="Descripcion" form="unqualified"/>
                  <xsd:element minOccurs="0" nillable="true" type="xsd:string" name="Responsable" form="unqualified"/>
                  <xsd:element minOccurs="0" nillable="true" name="Madepartamentos" form="unqualified">
                    <xsd:complexType>
                      <xsd:sequence minOccurs="0">
                        <xsd:element minOccurs="0" nillable="true" type="xsd:string" name="Departamento" form="unqualified"/>
                        <xsd:element minOccurs="0" maxOccurs="unbounded" nillable="true" name="Maproductos" form="unqualified">
                          <xsd:complexType>
                            <xsd:sequence minOccurs="0">
                              <xsd:element minOccurs="0" nillable="true" type="xsd:integer" name="Codigo_Producto" form="unqualified"/>
                              <xsd:element minOccurs="0" nillable="true" type="xsd:string" name="Modelo" form="unqualified"/>
                              <xsd:element minOccurs="0" nillable="true" type="xsd:string" name="Producto" form="unqualified"/>
                              <xsd:element minOccurs="0" nillable="true" type="xsd:double" name="Disponibles" form="unqualified"/>
                              <xsd:element minOccurs="0" nillable="true" type="xsd:double" name="Existencia" form="unqualified"/>
                              <xsd:element minOccurs="0" nillable="true" type="xsd:double" name="Pedido" form="unqualified"/>
                              <xsd:element minOccurs="0" nillable="true" type="xsd:integer" name="Comprometida" form="unqualified"/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</xsd:sequence>
        </xsd:complexType>
      </xsd:element>
    </xsd:schema>
  </Schema>
  <Map ID="1" Name="ReporteStellar_Map" RootElement="ReporteStellar" SchemaID="Schema1" ShowImportExportValidationErrors="false" AutoFit="true" Append="false" PreserveSortAFLayout="true" PreserveFormat="true">
    <DataBinding FileBinding="true" ConnectionID="1" DataBindingLoadMode="1"/>
  </Map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xmlMaps" Target="xmlMaps.xml"/></Relationships>
</file>

<file path=xl/tables/table1.xml><?xml version="1.0" encoding="utf-8"?>
<table xmlns="http://schemas.openxmlformats.org/spreadsheetml/2006/main" id="1" name="Tabla1" displayName="Tabla1" ref="A7:J113" tableType="xml" totalsRowShown="0" headerRowDxfId="6" connectionId="1">
  <autoFilter ref="A7:J113"/>
  <sortState ref="A8:I136">
    <sortCondition ref="A8:A136"/>
  </sortState>
  <tableColumns count="10">
    <tableColumn id="5" uniqueName="Codigo_Producto" name="CODIGO" dataDxfId="5">
      <xmlColumnPr mapId="1" xpath="/ReporteStellar/Registro/Madepartamentos/Maproductos/Codigo_Producto" xmlDataType="integer"/>
    </tableColumn>
    <tableColumn id="7" uniqueName="Producto" name="DESCRIPCION">
      <xmlColumnPr mapId="1" xpath="/ReporteStellar/Registro/Madepartamentos/Maproductos/Producto" xmlDataType="string"/>
    </tableColumn>
    <tableColumn id="16" uniqueName="16" name="RECEPCION" dataDxfId="4"/>
    <tableColumn id="8" uniqueName="Disponibles" name="SITEMA">
      <xmlColumnPr mapId="1" xpath="/ReporteStellar/Registro/Madepartamentos/Maproductos/Disponibles" xmlDataType="double"/>
    </tableColumn>
    <tableColumn id="9" uniqueName="Existencia" name="FISICO">
      <xmlColumnPr mapId="1" xpath="/ReporteStellar/Registro/Madepartamentos/Maproductos/Existencia" xmlDataType="double"/>
    </tableColumn>
    <tableColumn id="10" uniqueName="Pedido" name="VENTA" dataDxfId="3">
      <xmlColumnPr mapId="1" xpath="/ReporteStellar/Registro/Madepartamentos/Maproductos/Pedido" xmlDataType="double"/>
    </tableColumn>
    <tableColumn id="13" uniqueName="13" name="DIFERENCIA" dataDxfId="2"/>
    <tableColumn id="12" uniqueName="12" name="Columna1" dataDxfId="1" dataCellStyle="Porcentaje"/>
    <tableColumn id="18" uniqueName="18" name="COSTO" dataDxfId="0" dataCellStyle="Porcentaje"/>
    <tableColumn id="11" uniqueName="Comprometida" name="TOTAL $">
      <xmlColumnPr mapId="1" xpath="/ReporteStellar/Registro/Madepartamentos/Maproductos/Comprometida" xmlDataType="integer"/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J113"/>
  <sheetViews>
    <sheetView topLeftCell="B28" workbookViewId="0">
      <selection activeCell="H116" sqref="H116"/>
    </sheetView>
  </sheetViews>
  <sheetFormatPr baseColWidth="10" defaultRowHeight="15" x14ac:dyDescent="0.25"/>
  <cols>
    <col min="1" max="1" width="12" style="14" customWidth="1"/>
    <col min="2" max="2" width="31.28515625" customWidth="1"/>
    <col min="3" max="3" width="13.42578125" style="15" customWidth="1"/>
    <col min="4" max="4" width="13.7109375" bestFit="1" customWidth="1"/>
    <col min="5" max="5" width="12.140625" bestFit="1" customWidth="1"/>
    <col min="6" max="6" width="9.5703125" style="15" bestFit="1" customWidth="1"/>
    <col min="7" max="7" width="16.140625" customWidth="1"/>
    <col min="8" max="9" width="9.5703125" style="3" customWidth="1"/>
    <col min="10" max="10" width="14" customWidth="1"/>
  </cols>
  <sheetData>
    <row r="4" spans="1:10" x14ac:dyDescent="0.25">
      <c r="B4" t="s">
        <v>116</v>
      </c>
    </row>
    <row r="7" spans="1:10" x14ac:dyDescent="0.25">
      <c r="A7" s="12" t="s">
        <v>105</v>
      </c>
      <c r="B7" s="10" t="s">
        <v>106</v>
      </c>
      <c r="C7" s="10" t="s">
        <v>111</v>
      </c>
      <c r="D7" s="10" t="s">
        <v>107</v>
      </c>
      <c r="E7" s="10" t="s">
        <v>108</v>
      </c>
      <c r="F7" s="10" t="s">
        <v>109</v>
      </c>
      <c r="G7" s="10" t="s">
        <v>110</v>
      </c>
      <c r="H7" s="4" t="s">
        <v>0</v>
      </c>
      <c r="I7" s="6" t="s">
        <v>112</v>
      </c>
      <c r="J7" s="7" t="s">
        <v>113</v>
      </c>
    </row>
    <row r="8" spans="1:10" x14ac:dyDescent="0.25">
      <c r="A8" s="13">
        <v>1</v>
      </c>
      <c r="B8" s="11" t="s">
        <v>61</v>
      </c>
      <c r="C8" s="11">
        <f>111.8+313</f>
        <v>424.8</v>
      </c>
      <c r="D8" s="11">
        <v>245.315</v>
      </c>
      <c r="E8" s="11">
        <v>194.2</v>
      </c>
      <c r="F8" s="11">
        <v>9.34</v>
      </c>
      <c r="G8" s="11">
        <f>Tabla1[[#This Row],[VENTA]]+Tabla1[[#This Row],[FISICO]]-Tabla1[[#This Row],[SITEMA]]</f>
        <v>-41.775000000000006</v>
      </c>
      <c r="H8" s="5">
        <f>Tabla1[[#This Row],[DIFERENCIA]]/Tabla1[[#This Row],[RECEPCION]]</f>
        <v>-9.8340395480225995E-2</v>
      </c>
      <c r="I8" s="8">
        <v>0.22</v>
      </c>
      <c r="J8" s="9">
        <f>Tabla1[[#This Row],[COSTO]]*Tabla1[[#This Row],[DIFERENCIA]]</f>
        <v>-9.1905000000000019</v>
      </c>
    </row>
    <row r="9" spans="1:10" x14ac:dyDescent="0.25">
      <c r="A9" s="13">
        <v>2</v>
      </c>
      <c r="B9" s="11" t="s">
        <v>57</v>
      </c>
      <c r="C9" s="11"/>
      <c r="D9" s="11">
        <v>9.5000000000000001E-2</v>
      </c>
      <c r="E9" s="11"/>
      <c r="F9" s="11"/>
      <c r="G9" s="11">
        <f>Tabla1[[#This Row],[VENTA]]+Tabla1[[#This Row],[FISICO]]-Tabla1[[#This Row],[SITEMA]]</f>
        <v>-9.5000000000000001E-2</v>
      </c>
      <c r="H9" s="5">
        <v>0</v>
      </c>
      <c r="I9" s="8">
        <v>4.5999999999999996</v>
      </c>
      <c r="J9" s="9">
        <f>Tabla1[[#This Row],[COSTO]]*Tabla1[[#This Row],[DIFERENCIA]]</f>
        <v>-0.43699999999999994</v>
      </c>
    </row>
    <row r="10" spans="1:10" x14ac:dyDescent="0.25">
      <c r="A10" s="13">
        <v>3</v>
      </c>
      <c r="B10" s="11" t="s">
        <v>6</v>
      </c>
      <c r="C10" s="11"/>
      <c r="D10" s="11">
        <v>3.5000000000000003E-2</v>
      </c>
      <c r="E10" s="11"/>
      <c r="F10" s="11"/>
      <c r="G10" s="11">
        <f>Tabla1[[#This Row],[VENTA]]+Tabla1[[#This Row],[FISICO]]-Tabla1[[#This Row],[SITEMA]]</f>
        <v>-3.5000000000000003E-2</v>
      </c>
      <c r="H10" s="5">
        <v>0</v>
      </c>
      <c r="I10" s="8">
        <v>4.7</v>
      </c>
      <c r="J10" s="9">
        <f>Tabla1[[#This Row],[COSTO]]*Tabla1[[#This Row],[DIFERENCIA]]</f>
        <v>-0.16450000000000004</v>
      </c>
    </row>
    <row r="11" spans="1:10" x14ac:dyDescent="0.25">
      <c r="A11" s="13">
        <v>4</v>
      </c>
      <c r="B11" s="11" t="s">
        <v>56</v>
      </c>
      <c r="C11" s="11">
        <f>79.2+8.4</f>
        <v>87.600000000000009</v>
      </c>
      <c r="D11" s="11">
        <v>21.76</v>
      </c>
      <c r="E11" s="11">
        <v>14.6</v>
      </c>
      <c r="F11" s="11">
        <v>4.03</v>
      </c>
      <c r="G11" s="11">
        <f>Tabla1[[#This Row],[VENTA]]+Tabla1[[#This Row],[FISICO]]-Tabla1[[#This Row],[SITEMA]]</f>
        <v>-3.1300000000000026</v>
      </c>
      <c r="H11" s="5">
        <f>Tabla1[[#This Row],[DIFERENCIA]]/Tabla1[[#This Row],[RECEPCION]]</f>
        <v>-3.573059360730596E-2</v>
      </c>
      <c r="I11" s="8">
        <v>0.68</v>
      </c>
      <c r="J11" s="9">
        <f>Tabla1[[#This Row],[COSTO]]*Tabla1[[#This Row],[DIFERENCIA]]</f>
        <v>-2.1284000000000018</v>
      </c>
    </row>
    <row r="12" spans="1:10" x14ac:dyDescent="0.25">
      <c r="A12" s="13">
        <v>5</v>
      </c>
      <c r="B12" s="11" t="s">
        <v>80</v>
      </c>
      <c r="C12" s="11"/>
      <c r="D12" s="11">
        <v>0.28799999999999998</v>
      </c>
      <c r="E12" s="11"/>
      <c r="F12" s="11"/>
      <c r="G12" s="11">
        <f>Tabla1[[#This Row],[VENTA]]+Tabla1[[#This Row],[FISICO]]-Tabla1[[#This Row],[SITEMA]]</f>
        <v>-0.28799999999999998</v>
      </c>
      <c r="H12" s="5">
        <v>0</v>
      </c>
      <c r="I12" s="8">
        <v>2.2000000000000002</v>
      </c>
      <c r="J12" s="9">
        <f>Tabla1[[#This Row],[COSTO]]*Tabla1[[#This Row],[DIFERENCIA]]</f>
        <v>-0.63360000000000005</v>
      </c>
    </row>
    <row r="13" spans="1:10" x14ac:dyDescent="0.25">
      <c r="A13" s="13">
        <v>6</v>
      </c>
      <c r="B13" s="11" t="s">
        <v>4</v>
      </c>
      <c r="C13" s="11"/>
      <c r="D13" s="11">
        <v>1.0449999999999999</v>
      </c>
      <c r="E13" s="11"/>
      <c r="F13" s="11"/>
      <c r="G13" s="11">
        <f>Tabla1[[#This Row],[VENTA]]+Tabla1[[#This Row],[FISICO]]-Tabla1[[#This Row],[SITEMA]]</f>
        <v>-1.0449999999999999</v>
      </c>
      <c r="H13" s="5">
        <v>0</v>
      </c>
      <c r="I13" s="8">
        <v>2.5499999999999998</v>
      </c>
      <c r="J13" s="9">
        <f>Tabla1[[#This Row],[COSTO]]*Tabla1[[#This Row],[DIFERENCIA]]</f>
        <v>-2.6647499999999997</v>
      </c>
    </row>
    <row r="14" spans="1:10" x14ac:dyDescent="0.25">
      <c r="A14" s="13">
        <v>7</v>
      </c>
      <c r="B14" s="11" t="s">
        <v>51</v>
      </c>
      <c r="C14" s="11"/>
      <c r="D14" s="11">
        <v>3.91</v>
      </c>
      <c r="E14" s="11"/>
      <c r="F14" s="11"/>
      <c r="G14" s="11">
        <f>Tabla1[[#This Row],[VENTA]]+Tabla1[[#This Row],[FISICO]]-Tabla1[[#This Row],[SITEMA]]</f>
        <v>-3.91</v>
      </c>
      <c r="H14" s="5">
        <v>0</v>
      </c>
      <c r="I14" s="8">
        <v>1.24</v>
      </c>
      <c r="J14" s="9">
        <f>Tabla1[[#This Row],[COSTO]]*Tabla1[[#This Row],[DIFERENCIA]]</f>
        <v>-4.8483999999999998</v>
      </c>
    </row>
    <row r="15" spans="1:10" x14ac:dyDescent="0.25">
      <c r="A15" s="13">
        <v>8</v>
      </c>
      <c r="B15" s="11" t="s">
        <v>60</v>
      </c>
      <c r="C15" s="11"/>
      <c r="D15" s="11">
        <v>0</v>
      </c>
      <c r="E15" s="11"/>
      <c r="F15" s="11"/>
      <c r="G15" s="11">
        <f>Tabla1[[#This Row],[VENTA]]+Tabla1[[#This Row],[FISICO]]-Tabla1[[#This Row],[SITEMA]]</f>
        <v>0</v>
      </c>
      <c r="H15" s="5">
        <v>0</v>
      </c>
      <c r="I15" s="8"/>
      <c r="J15" s="9">
        <v>0</v>
      </c>
    </row>
    <row r="16" spans="1:10" x14ac:dyDescent="0.25">
      <c r="A16" s="13">
        <v>9</v>
      </c>
      <c r="B16" s="11" t="s">
        <v>49</v>
      </c>
      <c r="C16" s="11">
        <f>691.6+314</f>
        <v>1005.6</v>
      </c>
      <c r="D16" s="11">
        <v>668.125</v>
      </c>
      <c r="E16" s="11">
        <v>590.6</v>
      </c>
      <c r="F16" s="11">
        <v>28.79</v>
      </c>
      <c r="G16" s="11">
        <f>Tabla1[[#This Row],[VENTA]]+Tabla1[[#This Row],[FISICO]]-Tabla1[[#This Row],[SITEMA]]</f>
        <v>-48.735000000000014</v>
      </c>
      <c r="H16" s="5">
        <f>Tabla1[[#This Row],[DIFERENCIA]]/Tabla1[[#This Row],[RECEPCION]]</f>
        <v>-4.8463603818615766E-2</v>
      </c>
      <c r="I16" s="8">
        <v>1.02</v>
      </c>
      <c r="J16" s="9">
        <f>Tabla1[[#This Row],[COSTO]]*Tabla1[[#This Row],[DIFERENCIA]]</f>
        <v>-49.709700000000012</v>
      </c>
    </row>
    <row r="17" spans="1:10" x14ac:dyDescent="0.25">
      <c r="A17" s="13">
        <v>10</v>
      </c>
      <c r="B17" s="11" t="s">
        <v>50</v>
      </c>
      <c r="C17" s="11"/>
      <c r="D17" s="11">
        <v>0.85499999999999998</v>
      </c>
      <c r="E17" s="11"/>
      <c r="F17" s="11"/>
      <c r="G17" s="11">
        <f>Tabla1[[#This Row],[VENTA]]+Tabla1[[#This Row],[FISICO]]-Tabla1[[#This Row],[SITEMA]]</f>
        <v>-0.85499999999999998</v>
      </c>
      <c r="H17" s="5">
        <v>0</v>
      </c>
      <c r="I17" s="8">
        <v>1.32</v>
      </c>
      <c r="J17" s="9">
        <f>Tabla1[[#This Row],[COSTO]]*Tabla1[[#This Row],[DIFERENCIA]]</f>
        <v>-1.1286</v>
      </c>
    </row>
    <row r="18" spans="1:10" x14ac:dyDescent="0.25">
      <c r="A18" s="13">
        <v>11</v>
      </c>
      <c r="B18" s="11" t="s">
        <v>28</v>
      </c>
      <c r="C18" s="11">
        <f>1120.2+113.8</f>
        <v>1234</v>
      </c>
      <c r="D18" s="11">
        <v>135.22</v>
      </c>
      <c r="E18" s="11">
        <f>94+36.6</f>
        <v>130.6</v>
      </c>
      <c r="F18" s="11">
        <v>0</v>
      </c>
      <c r="G18" s="11">
        <f>Tabla1[[#This Row],[VENTA]]+Tabla1[[#This Row],[FISICO]]-Tabla1[[#This Row],[SITEMA]]</f>
        <v>-4.6200000000000045</v>
      </c>
      <c r="H18" s="5">
        <f>Tabla1[[#This Row],[DIFERENCIA]]/Tabla1[[#This Row],[RECEPCION]]</f>
        <v>-3.743922204213942E-3</v>
      </c>
      <c r="I18" s="8">
        <v>0.98</v>
      </c>
      <c r="J18" s="9">
        <f>Tabla1[[#This Row],[COSTO]]*Tabla1[[#This Row],[DIFERENCIA]]</f>
        <v>-4.5276000000000041</v>
      </c>
    </row>
    <row r="19" spans="1:10" x14ac:dyDescent="0.25">
      <c r="A19" s="13">
        <v>12</v>
      </c>
      <c r="B19" s="11" t="s">
        <v>59</v>
      </c>
      <c r="C19" s="11">
        <f>143+25.2</f>
        <v>168.2</v>
      </c>
      <c r="D19" s="11">
        <v>100.155</v>
      </c>
      <c r="E19" s="11">
        <f>23+54</f>
        <v>77</v>
      </c>
      <c r="F19" s="11">
        <v>4.42</v>
      </c>
      <c r="G19" s="11">
        <f>Tabla1[[#This Row],[VENTA]]+Tabla1[[#This Row],[FISICO]]-Tabla1[[#This Row],[SITEMA]]</f>
        <v>-18.734999999999999</v>
      </c>
      <c r="H19" s="5">
        <f>Tabla1[[#This Row],[DIFERENCIA]]/Tabla1[[#This Row],[RECEPCION]]</f>
        <v>-0.11138525564803806</v>
      </c>
      <c r="I19" s="8">
        <v>0.84</v>
      </c>
      <c r="J19" s="9">
        <f>Tabla1[[#This Row],[COSTO]]*Tabla1[[#This Row],[DIFERENCIA]]</f>
        <v>-15.737399999999999</v>
      </c>
    </row>
    <row r="20" spans="1:10" x14ac:dyDescent="0.25">
      <c r="A20" s="13">
        <v>13</v>
      </c>
      <c r="B20" s="11" t="s">
        <v>26</v>
      </c>
      <c r="C20" s="11">
        <f>48.6+78.2</f>
        <v>126.80000000000001</v>
      </c>
      <c r="D20" s="11">
        <v>65.555000000000007</v>
      </c>
      <c r="E20" s="11">
        <v>41</v>
      </c>
      <c r="F20" s="11">
        <v>1.73</v>
      </c>
      <c r="G20" s="11">
        <f>Tabla1[[#This Row],[VENTA]]+Tabla1[[#This Row],[FISICO]]-Tabla1[[#This Row],[SITEMA]]</f>
        <v>-22.82500000000001</v>
      </c>
      <c r="H20" s="5">
        <f>Tabla1[[#This Row],[DIFERENCIA]]/Tabla1[[#This Row],[RECEPCION]]</f>
        <v>-0.1800078864353313</v>
      </c>
      <c r="I20" s="8">
        <v>0.98</v>
      </c>
      <c r="J20" s="9">
        <f>Tabla1[[#This Row],[COSTO]]*Tabla1[[#This Row],[DIFERENCIA]]</f>
        <v>-22.368500000000008</v>
      </c>
    </row>
    <row r="21" spans="1:10" x14ac:dyDescent="0.25">
      <c r="A21" s="13">
        <v>14</v>
      </c>
      <c r="B21" s="11" t="s">
        <v>72</v>
      </c>
      <c r="C21" s="11">
        <v>50</v>
      </c>
      <c r="D21" s="11">
        <v>14.06</v>
      </c>
      <c r="E21" s="11">
        <v>2</v>
      </c>
      <c r="F21" s="11">
        <v>2.02</v>
      </c>
      <c r="G21" s="11">
        <f>Tabla1[[#This Row],[VENTA]]+Tabla1[[#This Row],[FISICO]]-Tabla1[[#This Row],[SITEMA]]</f>
        <v>-10.040000000000001</v>
      </c>
      <c r="H21" s="5">
        <f>Tabla1[[#This Row],[DIFERENCIA]]/Tabla1[[#This Row],[RECEPCION]]</f>
        <v>-0.20080000000000001</v>
      </c>
      <c r="I21" s="8">
        <v>0.9</v>
      </c>
      <c r="J21" s="9">
        <f>Tabla1[[#This Row],[COSTO]]*Tabla1[[#This Row],[DIFERENCIA]]</f>
        <v>-9.0360000000000014</v>
      </c>
    </row>
    <row r="22" spans="1:10" x14ac:dyDescent="0.25">
      <c r="A22" s="13">
        <v>15</v>
      </c>
      <c r="B22" s="11" t="s">
        <v>73</v>
      </c>
      <c r="C22" s="11">
        <f>25+72.6</f>
        <v>97.6</v>
      </c>
      <c r="D22" s="11">
        <v>57.81</v>
      </c>
      <c r="E22" s="11">
        <v>43.8</v>
      </c>
      <c r="F22" s="11">
        <v>0.47</v>
      </c>
      <c r="G22" s="11">
        <f>Tabla1[[#This Row],[VENTA]]+Tabla1[[#This Row],[FISICO]]-Tabla1[[#This Row],[SITEMA]]</f>
        <v>-13.540000000000006</v>
      </c>
      <c r="H22" s="5">
        <f>Tabla1[[#This Row],[DIFERENCIA]]/Tabla1[[#This Row],[RECEPCION]]</f>
        <v>-0.13872950819672139</v>
      </c>
      <c r="I22" s="8">
        <v>0.68</v>
      </c>
      <c r="J22" s="9">
        <f>Tabla1[[#This Row],[COSTO]]*Tabla1[[#This Row],[DIFERENCIA]]</f>
        <v>-9.2072000000000056</v>
      </c>
    </row>
    <row r="23" spans="1:10" x14ac:dyDescent="0.25">
      <c r="A23" s="13">
        <v>16</v>
      </c>
      <c r="B23" s="11" t="s">
        <v>89</v>
      </c>
      <c r="C23" s="11">
        <f>442+3</f>
        <v>445</v>
      </c>
      <c r="D23" s="11">
        <v>210.55500000000001</v>
      </c>
      <c r="E23" s="11">
        <v>103</v>
      </c>
      <c r="F23" s="11">
        <v>14.29</v>
      </c>
      <c r="G23" s="11">
        <f>Tabla1[[#This Row],[VENTA]]+Tabla1[[#This Row],[FISICO]]-Tabla1[[#This Row],[SITEMA]]</f>
        <v>-93.265000000000015</v>
      </c>
      <c r="H23" s="5">
        <f>Tabla1[[#This Row],[DIFERENCIA]]/Tabla1[[#This Row],[RECEPCION]]</f>
        <v>-0.20958426966292137</v>
      </c>
      <c r="I23" s="8">
        <v>0.55000000000000004</v>
      </c>
      <c r="J23" s="9">
        <f>Tabla1[[#This Row],[COSTO]]*Tabla1[[#This Row],[DIFERENCIA]]</f>
        <v>-51.295750000000012</v>
      </c>
    </row>
    <row r="24" spans="1:10" x14ac:dyDescent="0.25">
      <c r="A24" s="13">
        <v>17</v>
      </c>
      <c r="B24" s="11" t="s">
        <v>86</v>
      </c>
      <c r="C24" s="11">
        <f>304.6+3.286</f>
        <v>307.88600000000002</v>
      </c>
      <c r="D24" s="11">
        <v>39.405999999999999</v>
      </c>
      <c r="E24" s="11">
        <v>2.2000000000000002</v>
      </c>
      <c r="F24" s="11">
        <v>0.51</v>
      </c>
      <c r="G24" s="11">
        <f>Tabla1[[#This Row],[VENTA]]+Tabla1[[#This Row],[FISICO]]-Tabla1[[#This Row],[SITEMA]]</f>
        <v>-36.695999999999998</v>
      </c>
      <c r="H24" s="5">
        <f>Tabla1[[#This Row],[DIFERENCIA]]/Tabla1[[#This Row],[RECEPCION]]</f>
        <v>-0.1191869718012511</v>
      </c>
      <c r="I24" s="8">
        <v>1.47</v>
      </c>
      <c r="J24" s="9">
        <f>Tabla1[[#This Row],[COSTO]]*Tabla1[[#This Row],[DIFERENCIA]]</f>
        <v>-53.943119999999993</v>
      </c>
    </row>
    <row r="25" spans="1:10" x14ac:dyDescent="0.25">
      <c r="A25" s="13">
        <v>18</v>
      </c>
      <c r="B25" s="11" t="s">
        <v>42</v>
      </c>
      <c r="C25" s="11">
        <v>297.39999999999998</v>
      </c>
      <c r="D25" s="11">
        <v>35.520000000000003</v>
      </c>
      <c r="E25" s="11">
        <v>24.2</v>
      </c>
      <c r="F25" s="11">
        <v>0</v>
      </c>
      <c r="G25" s="11">
        <f>Tabla1[[#This Row],[VENTA]]+Tabla1[[#This Row],[FISICO]]-Tabla1[[#This Row],[SITEMA]]</f>
        <v>-11.320000000000004</v>
      </c>
      <c r="H25" s="5">
        <f>Tabla1[[#This Row],[DIFERENCIA]]/Tabla1[[#This Row],[RECEPCION]]</f>
        <v>-3.8063214525891072E-2</v>
      </c>
      <c r="I25" s="8">
        <v>2.35</v>
      </c>
      <c r="J25" s="9">
        <f>Tabla1[[#This Row],[COSTO]]*Tabla1[[#This Row],[DIFERENCIA]]</f>
        <v>-26.602000000000011</v>
      </c>
    </row>
    <row r="26" spans="1:10" x14ac:dyDescent="0.25">
      <c r="A26" s="13">
        <v>19</v>
      </c>
      <c r="B26" s="11" t="s">
        <v>32</v>
      </c>
      <c r="C26" s="11"/>
      <c r="D26" s="11">
        <v>358.95499999999998</v>
      </c>
      <c r="E26" s="11"/>
      <c r="F26" s="11"/>
      <c r="G26" s="11">
        <f>Tabla1[[#This Row],[VENTA]]+Tabla1[[#This Row],[FISICO]]-Tabla1[[#This Row],[SITEMA]]</f>
        <v>-358.95499999999998</v>
      </c>
      <c r="H26" s="5">
        <v>0</v>
      </c>
      <c r="I26" s="8">
        <v>0.73</v>
      </c>
      <c r="J26" s="9">
        <f>Tabla1[[#This Row],[COSTO]]*Tabla1[[#This Row],[DIFERENCIA]]</f>
        <v>-262.03715</v>
      </c>
    </row>
    <row r="27" spans="1:10" x14ac:dyDescent="0.25">
      <c r="A27" s="13">
        <v>20</v>
      </c>
      <c r="B27" s="11" t="s">
        <v>1</v>
      </c>
      <c r="C27" s="11"/>
      <c r="D27" s="11">
        <v>0.215</v>
      </c>
      <c r="E27" s="11"/>
      <c r="F27" s="11"/>
      <c r="G27" s="11">
        <f>Tabla1[[#This Row],[VENTA]]+Tabla1[[#This Row],[FISICO]]-Tabla1[[#This Row],[SITEMA]]</f>
        <v>-0.215</v>
      </c>
      <c r="H27" s="5">
        <v>0</v>
      </c>
      <c r="I27" s="8">
        <v>3.33</v>
      </c>
      <c r="J27" s="9">
        <f>Tabla1[[#This Row],[COSTO]]*Tabla1[[#This Row],[DIFERENCIA]]</f>
        <v>-0.71594999999999998</v>
      </c>
    </row>
    <row r="28" spans="1:10" x14ac:dyDescent="0.25">
      <c r="A28" s="13">
        <v>23</v>
      </c>
      <c r="B28" s="11" t="s">
        <v>53</v>
      </c>
      <c r="C28" s="11">
        <f>56.4+2</f>
        <v>58.4</v>
      </c>
      <c r="D28" s="11">
        <v>10.41</v>
      </c>
      <c r="E28" s="11">
        <v>4.2</v>
      </c>
      <c r="F28" s="11">
        <v>0</v>
      </c>
      <c r="G28" s="11">
        <f>Tabla1[[#This Row],[VENTA]]+Tabla1[[#This Row],[FISICO]]-Tabla1[[#This Row],[SITEMA]]</f>
        <v>-6.21</v>
      </c>
      <c r="H28" s="5">
        <f>Tabla1[[#This Row],[DIFERENCIA]]/Tabla1[[#This Row],[RECEPCION]]</f>
        <v>-0.10633561643835616</v>
      </c>
      <c r="I28" s="8">
        <v>0.42</v>
      </c>
      <c r="J28" s="9">
        <f>Tabla1[[#This Row],[COSTO]]*Tabla1[[#This Row],[DIFERENCIA]]</f>
        <v>-2.6082000000000001</v>
      </c>
    </row>
    <row r="29" spans="1:10" x14ac:dyDescent="0.25">
      <c r="A29" s="13">
        <v>24</v>
      </c>
      <c r="B29" s="11" t="s">
        <v>88</v>
      </c>
      <c r="C29" s="11"/>
      <c r="D29" s="11">
        <v>18.149999999999999</v>
      </c>
      <c r="E29" s="11"/>
      <c r="F29" s="11"/>
      <c r="G29" s="11">
        <f>Tabla1[[#This Row],[VENTA]]+Tabla1[[#This Row],[FISICO]]-Tabla1[[#This Row],[SITEMA]]</f>
        <v>-18.149999999999999</v>
      </c>
      <c r="H29" s="5">
        <v>0</v>
      </c>
      <c r="I29" s="8">
        <v>0.78</v>
      </c>
      <c r="J29" s="9">
        <f>Tabla1[[#This Row],[COSTO]]*Tabla1[[#This Row],[DIFERENCIA]]</f>
        <v>-14.157</v>
      </c>
    </row>
    <row r="30" spans="1:10" x14ac:dyDescent="0.25">
      <c r="A30" s="13">
        <v>26</v>
      </c>
      <c r="B30" s="11" t="s">
        <v>55</v>
      </c>
      <c r="C30" s="11">
        <f>45.8+12.2+58.8+150.9+147.5+78.7</f>
        <v>493.9</v>
      </c>
      <c r="D30" s="11">
        <v>573.54999999999995</v>
      </c>
      <c r="E30" s="11">
        <v>189.4</v>
      </c>
      <c r="F30" s="11">
        <v>52.72</v>
      </c>
      <c r="G30" s="11">
        <f>Tabla1[[#This Row],[VENTA]]+Tabla1[[#This Row],[FISICO]]-Tabla1[[#This Row],[SITEMA]]</f>
        <v>-331.42999999999995</v>
      </c>
      <c r="H30" s="5">
        <f>Tabla1[[#This Row],[DIFERENCIA]]/Tabla1[[#This Row],[RECEPCION]]</f>
        <v>-0.67104677060133622</v>
      </c>
      <c r="I30" s="8">
        <v>0.7</v>
      </c>
      <c r="J30" s="9">
        <f>Tabla1[[#This Row],[COSTO]]*Tabla1[[#This Row],[DIFERENCIA]]</f>
        <v>-232.00099999999995</v>
      </c>
    </row>
    <row r="31" spans="1:10" x14ac:dyDescent="0.25">
      <c r="A31" s="13">
        <v>28</v>
      </c>
      <c r="B31" s="11" t="s">
        <v>54</v>
      </c>
      <c r="C31" s="11">
        <v>84.4</v>
      </c>
      <c r="D31" s="11">
        <v>21.495000000000001</v>
      </c>
      <c r="E31" s="11">
        <v>12.6</v>
      </c>
      <c r="F31" s="11">
        <v>2.44</v>
      </c>
      <c r="G31" s="11">
        <f>Tabla1[[#This Row],[VENTA]]+Tabla1[[#This Row],[FISICO]]-Tabla1[[#This Row],[SITEMA]]</f>
        <v>-6.4550000000000018</v>
      </c>
      <c r="H31" s="5">
        <f>Tabla1[[#This Row],[DIFERENCIA]]/Tabla1[[#This Row],[RECEPCION]]</f>
        <v>-7.6481042654028455E-2</v>
      </c>
      <c r="I31" s="8">
        <v>1.44</v>
      </c>
      <c r="J31" s="9">
        <f>Tabla1[[#This Row],[COSTO]]*Tabla1[[#This Row],[DIFERENCIA]]</f>
        <v>-9.295200000000003</v>
      </c>
    </row>
    <row r="32" spans="1:10" x14ac:dyDescent="0.25">
      <c r="A32" s="13">
        <v>31</v>
      </c>
      <c r="B32" s="11" t="s">
        <v>47</v>
      </c>
      <c r="C32" s="11">
        <v>139.19999999999999</v>
      </c>
      <c r="D32" s="11">
        <v>49.895000000000003</v>
      </c>
      <c r="E32" s="11">
        <v>12.4</v>
      </c>
      <c r="F32" s="11">
        <v>6.9</v>
      </c>
      <c r="G32" s="11">
        <f>Tabla1[[#This Row],[VENTA]]+Tabla1[[#This Row],[FISICO]]-Tabla1[[#This Row],[SITEMA]]</f>
        <v>-30.595000000000002</v>
      </c>
      <c r="H32" s="5">
        <f>Tabla1[[#This Row],[DIFERENCIA]]/Tabla1[[#This Row],[RECEPCION]]</f>
        <v>-0.21979166666666669</v>
      </c>
      <c r="I32" s="8">
        <v>0.85</v>
      </c>
      <c r="J32" s="9">
        <f>Tabla1[[#This Row],[COSTO]]*Tabla1[[#This Row],[DIFERENCIA]]</f>
        <v>-26.005750000000003</v>
      </c>
    </row>
    <row r="33" spans="1:10" x14ac:dyDescent="0.25">
      <c r="A33" s="13">
        <v>32</v>
      </c>
      <c r="B33" s="11" t="s">
        <v>48</v>
      </c>
      <c r="C33" s="11">
        <v>51.4</v>
      </c>
      <c r="D33" s="11">
        <v>35.655000000000001</v>
      </c>
      <c r="E33" s="11">
        <v>31.4</v>
      </c>
      <c r="F33" s="11">
        <v>1.42</v>
      </c>
      <c r="G33" s="11">
        <f>Tabla1[[#This Row],[VENTA]]+Tabla1[[#This Row],[FISICO]]-Tabla1[[#This Row],[SITEMA]]</f>
        <v>-2.8350000000000009</v>
      </c>
      <c r="H33" s="5">
        <f>Tabla1[[#This Row],[DIFERENCIA]]/Tabla1[[#This Row],[RECEPCION]]</f>
        <v>-5.5155642023346323E-2</v>
      </c>
      <c r="I33" s="8">
        <v>1.08</v>
      </c>
      <c r="J33" s="9">
        <f>Tabla1[[#This Row],[COSTO]]*Tabla1[[#This Row],[DIFERENCIA]]</f>
        <v>-3.0618000000000012</v>
      </c>
    </row>
    <row r="34" spans="1:10" x14ac:dyDescent="0.25">
      <c r="A34" s="13">
        <v>33</v>
      </c>
      <c r="B34" s="11" t="s">
        <v>90</v>
      </c>
      <c r="C34" s="11">
        <v>13.6</v>
      </c>
      <c r="D34" s="11">
        <v>4.0999999999999996</v>
      </c>
      <c r="E34" s="11">
        <v>1.8</v>
      </c>
      <c r="F34" s="11">
        <v>0</v>
      </c>
      <c r="G34" s="11">
        <f>Tabla1[[#This Row],[VENTA]]+Tabla1[[#This Row],[FISICO]]-Tabla1[[#This Row],[SITEMA]]</f>
        <v>-2.2999999999999998</v>
      </c>
      <c r="H34" s="5">
        <f>Tabla1[[#This Row],[DIFERENCIA]]/Tabla1[[#This Row],[RECEPCION]]</f>
        <v>-0.16911764705882351</v>
      </c>
      <c r="I34" s="8">
        <v>2.2000000000000002</v>
      </c>
      <c r="J34" s="9">
        <f>Tabla1[[#This Row],[COSTO]]*Tabla1[[#This Row],[DIFERENCIA]]</f>
        <v>-5.0599999999999996</v>
      </c>
    </row>
    <row r="35" spans="1:10" x14ac:dyDescent="0.25">
      <c r="A35" s="13">
        <v>37</v>
      </c>
      <c r="B35" s="11" t="s">
        <v>46</v>
      </c>
      <c r="C35" s="11"/>
      <c r="D35" s="11">
        <v>0</v>
      </c>
      <c r="E35" s="11"/>
      <c r="F35" s="11"/>
      <c r="G35" s="11">
        <f>Tabla1[[#This Row],[VENTA]]+Tabla1[[#This Row],[FISICO]]-Tabla1[[#This Row],[SITEMA]]</f>
        <v>0</v>
      </c>
      <c r="H35" s="5">
        <v>0</v>
      </c>
      <c r="I35" s="8"/>
      <c r="J35" s="9">
        <v>0</v>
      </c>
    </row>
    <row r="36" spans="1:10" x14ac:dyDescent="0.25">
      <c r="A36" s="13">
        <v>38</v>
      </c>
      <c r="B36" s="11" t="s">
        <v>97</v>
      </c>
      <c r="C36" s="11"/>
      <c r="D36" s="11">
        <v>5.0000000000000001E-3</v>
      </c>
      <c r="E36" s="11"/>
      <c r="F36" s="11"/>
      <c r="G36" s="11">
        <f>Tabla1[[#This Row],[VENTA]]+Tabla1[[#This Row],[FISICO]]-Tabla1[[#This Row],[SITEMA]]</f>
        <v>-5.0000000000000001E-3</v>
      </c>
      <c r="H36" s="5">
        <v>0</v>
      </c>
      <c r="I36" s="8">
        <v>1.21</v>
      </c>
      <c r="J36" s="9">
        <f>Tabla1[[#This Row],[COSTO]]*Tabla1[[#This Row],[DIFERENCIA]]</f>
        <v>-6.0499999999999998E-3</v>
      </c>
    </row>
    <row r="37" spans="1:10" x14ac:dyDescent="0.25">
      <c r="A37" s="13">
        <v>39</v>
      </c>
      <c r="B37" s="11" t="s">
        <v>74</v>
      </c>
      <c r="C37" s="11"/>
      <c r="D37" s="11">
        <v>8.8000000000000007</v>
      </c>
      <c r="E37" s="11"/>
      <c r="F37" s="11"/>
      <c r="G37" s="11">
        <f>Tabla1[[#This Row],[VENTA]]+Tabla1[[#This Row],[FISICO]]-Tabla1[[#This Row],[SITEMA]]</f>
        <v>-8.8000000000000007</v>
      </c>
      <c r="H37" s="5">
        <v>0</v>
      </c>
      <c r="I37" s="8">
        <v>0.99</v>
      </c>
      <c r="J37" s="9">
        <f>Tabla1[[#This Row],[COSTO]]*Tabla1[[#This Row],[DIFERENCIA]]</f>
        <v>-8.7119999999999997</v>
      </c>
    </row>
    <row r="38" spans="1:10" x14ac:dyDescent="0.25">
      <c r="A38" s="13">
        <v>40</v>
      </c>
      <c r="B38" s="11" t="s">
        <v>45</v>
      </c>
      <c r="C38" s="11"/>
      <c r="D38" s="11">
        <v>5.8049999999999997</v>
      </c>
      <c r="E38" s="11"/>
      <c r="F38" s="11"/>
      <c r="G38" s="11">
        <f>Tabla1[[#This Row],[VENTA]]+Tabla1[[#This Row],[FISICO]]-Tabla1[[#This Row],[SITEMA]]</f>
        <v>-5.8049999999999997</v>
      </c>
      <c r="H38" s="5">
        <v>0</v>
      </c>
      <c r="I38" s="8">
        <v>0.84</v>
      </c>
      <c r="J38" s="9">
        <f>Tabla1[[#This Row],[COSTO]]*Tabla1[[#This Row],[DIFERENCIA]]</f>
        <v>-4.8761999999999999</v>
      </c>
    </row>
    <row r="39" spans="1:10" x14ac:dyDescent="0.25">
      <c r="A39" s="13">
        <v>41</v>
      </c>
      <c r="B39" s="11" t="s">
        <v>95</v>
      </c>
      <c r="C39" s="11"/>
      <c r="D39" s="11">
        <v>0</v>
      </c>
      <c r="E39" s="11"/>
      <c r="F39" s="11"/>
      <c r="G39" s="11">
        <f>Tabla1[[#This Row],[VENTA]]+Tabla1[[#This Row],[FISICO]]-Tabla1[[#This Row],[SITEMA]]</f>
        <v>0</v>
      </c>
      <c r="H39" s="5">
        <v>0</v>
      </c>
      <c r="I39" s="8"/>
      <c r="J39" s="9">
        <v>0</v>
      </c>
    </row>
    <row r="40" spans="1:10" x14ac:dyDescent="0.25">
      <c r="A40" s="13">
        <v>44</v>
      </c>
      <c r="B40" s="11" t="s">
        <v>40</v>
      </c>
      <c r="C40" s="11">
        <f>351.6+6.6</f>
        <v>358.20000000000005</v>
      </c>
      <c r="D40" s="11">
        <v>33.67</v>
      </c>
      <c r="E40" s="11">
        <v>11.2</v>
      </c>
      <c r="F40" s="11">
        <v>8.42</v>
      </c>
      <c r="G40" s="11">
        <f>Tabla1[[#This Row],[VENTA]]+Tabla1[[#This Row],[FISICO]]-Tabla1[[#This Row],[SITEMA]]</f>
        <v>-14.050000000000004</v>
      </c>
      <c r="H40" s="5">
        <f>Tabla1[[#This Row],[DIFERENCIA]]/Tabla1[[#This Row],[RECEPCION]]</f>
        <v>-3.9223897264098279E-2</v>
      </c>
      <c r="I40" s="8">
        <v>0.4</v>
      </c>
      <c r="J40" s="9">
        <f>Tabla1[[#This Row],[COSTO]]*Tabla1[[#This Row],[DIFERENCIA]]</f>
        <v>-5.6200000000000019</v>
      </c>
    </row>
    <row r="41" spans="1:10" x14ac:dyDescent="0.25">
      <c r="A41" s="13">
        <v>45</v>
      </c>
      <c r="B41" s="11" t="s">
        <v>41</v>
      </c>
      <c r="C41" s="11">
        <f>173.2+46.2</f>
        <v>219.39999999999998</v>
      </c>
      <c r="D41" s="11">
        <v>254.3</v>
      </c>
      <c r="E41" s="11">
        <v>216.4</v>
      </c>
      <c r="F41" s="11">
        <v>4.55</v>
      </c>
      <c r="G41" s="11">
        <f>Tabla1[[#This Row],[VENTA]]+Tabla1[[#This Row],[FISICO]]-Tabla1[[#This Row],[SITEMA]]</f>
        <v>-33.349999999999994</v>
      </c>
      <c r="H41" s="5">
        <f>Tabla1[[#This Row],[DIFERENCIA]]/Tabla1[[#This Row],[RECEPCION]]</f>
        <v>-0.15200546946216956</v>
      </c>
      <c r="I41" s="8">
        <v>0.48</v>
      </c>
      <c r="J41" s="9">
        <f>Tabla1[[#This Row],[COSTO]]*Tabla1[[#This Row],[DIFERENCIA]]</f>
        <v>-16.007999999999996</v>
      </c>
    </row>
    <row r="42" spans="1:10" x14ac:dyDescent="0.25">
      <c r="A42" s="13">
        <v>46</v>
      </c>
      <c r="B42" s="11" t="s">
        <v>87</v>
      </c>
      <c r="C42" s="11">
        <v>32.200000000000003</v>
      </c>
      <c r="D42" s="11">
        <v>2.85</v>
      </c>
      <c r="E42" s="11">
        <v>0.68</v>
      </c>
      <c r="F42" s="11">
        <v>0.71</v>
      </c>
      <c r="G42" s="11">
        <f>Tabla1[[#This Row],[VENTA]]+Tabla1[[#This Row],[FISICO]]-Tabla1[[#This Row],[SITEMA]]</f>
        <v>-1.46</v>
      </c>
      <c r="H42" s="5">
        <f>Tabla1[[#This Row],[DIFERENCIA]]/Tabla1[[#This Row],[RECEPCION]]</f>
        <v>-4.5341614906832292E-2</v>
      </c>
      <c r="I42" s="8">
        <v>0.74</v>
      </c>
      <c r="J42" s="9">
        <f>Tabla1[[#This Row],[COSTO]]*Tabla1[[#This Row],[DIFERENCIA]]</f>
        <v>-1.0804</v>
      </c>
    </row>
    <row r="43" spans="1:10" x14ac:dyDescent="0.25">
      <c r="A43" s="13">
        <v>48</v>
      </c>
      <c r="B43" s="11" t="s">
        <v>81</v>
      </c>
      <c r="C43" s="11">
        <v>1.29</v>
      </c>
      <c r="D43" s="11">
        <v>3.645</v>
      </c>
      <c r="E43" s="11">
        <v>1.7</v>
      </c>
      <c r="F43" s="11">
        <v>0.47</v>
      </c>
      <c r="G43" s="11">
        <f>Tabla1[[#This Row],[VENTA]]+Tabla1[[#This Row],[FISICO]]-Tabla1[[#This Row],[SITEMA]]</f>
        <v>-1.4750000000000001</v>
      </c>
      <c r="H43" s="5">
        <f>Tabla1[[#This Row],[DIFERENCIA]]/Tabla1[[#This Row],[RECEPCION]]</f>
        <v>-1.1434108527131783</v>
      </c>
      <c r="I43" s="8">
        <v>1.92</v>
      </c>
      <c r="J43" s="9">
        <f>Tabla1[[#This Row],[COSTO]]*Tabla1[[#This Row],[DIFERENCIA]]</f>
        <v>-2.8319999999999999</v>
      </c>
    </row>
    <row r="44" spans="1:10" x14ac:dyDescent="0.25">
      <c r="A44" s="13">
        <v>49</v>
      </c>
      <c r="B44" s="11" t="s">
        <v>43</v>
      </c>
      <c r="C44" s="11">
        <f>59.2+24</f>
        <v>83.2</v>
      </c>
      <c r="D44" s="11">
        <v>34.284999999999997</v>
      </c>
      <c r="E44" s="11">
        <v>28</v>
      </c>
      <c r="F44" s="11">
        <v>0.75</v>
      </c>
      <c r="G44" s="11">
        <f>Tabla1[[#This Row],[VENTA]]+Tabla1[[#This Row],[FISICO]]-Tabla1[[#This Row],[SITEMA]]</f>
        <v>-5.5349999999999966</v>
      </c>
      <c r="H44" s="5">
        <f>Tabla1[[#This Row],[DIFERENCIA]]/Tabla1[[#This Row],[RECEPCION]]</f>
        <v>-6.6526442307692266E-2</v>
      </c>
      <c r="I44" s="8">
        <v>1.85</v>
      </c>
      <c r="J44" s="9">
        <f>Tabla1[[#This Row],[COSTO]]*Tabla1[[#This Row],[DIFERENCIA]]</f>
        <v>-10.239749999999994</v>
      </c>
    </row>
    <row r="45" spans="1:10" x14ac:dyDescent="0.25">
      <c r="A45" s="13">
        <v>50</v>
      </c>
      <c r="B45" s="11" t="s">
        <v>76</v>
      </c>
      <c r="C45" s="11"/>
      <c r="D45" s="11">
        <v>6.9450000000000003</v>
      </c>
      <c r="E45" s="11"/>
      <c r="F45" s="11"/>
      <c r="G45" s="11">
        <f>Tabla1[[#This Row],[VENTA]]+Tabla1[[#This Row],[FISICO]]-Tabla1[[#This Row],[SITEMA]]</f>
        <v>-6.9450000000000003</v>
      </c>
      <c r="H45" s="5">
        <v>0</v>
      </c>
      <c r="I45" s="8">
        <v>0.3</v>
      </c>
      <c r="J45" s="9">
        <f>Tabla1[[#This Row],[COSTO]]*Tabla1[[#This Row],[DIFERENCIA]]</f>
        <v>-2.0834999999999999</v>
      </c>
    </row>
    <row r="46" spans="1:10" x14ac:dyDescent="0.25">
      <c r="A46" s="13">
        <v>51</v>
      </c>
      <c r="B46" s="11" t="s">
        <v>39</v>
      </c>
      <c r="C46" s="11">
        <f>298.4+8.8</f>
        <v>307.2</v>
      </c>
      <c r="D46" s="11">
        <v>61.11</v>
      </c>
      <c r="E46" s="11">
        <v>48.4</v>
      </c>
      <c r="F46" s="11">
        <v>0</v>
      </c>
      <c r="G46" s="11">
        <f>Tabla1[[#This Row],[VENTA]]+Tabla1[[#This Row],[FISICO]]-Tabla1[[#This Row],[SITEMA]]</f>
        <v>-12.71</v>
      </c>
      <c r="H46" s="5">
        <f>Tabla1[[#This Row],[DIFERENCIA]]/Tabla1[[#This Row],[RECEPCION]]</f>
        <v>-4.1373697916666674E-2</v>
      </c>
      <c r="I46" s="8">
        <v>0.45</v>
      </c>
      <c r="J46" s="9">
        <f>Tabla1[[#This Row],[COSTO]]*Tabla1[[#This Row],[DIFERENCIA]]</f>
        <v>-5.7195000000000009</v>
      </c>
    </row>
    <row r="47" spans="1:10" x14ac:dyDescent="0.25">
      <c r="A47" s="13">
        <v>55</v>
      </c>
      <c r="B47" s="11" t="s">
        <v>25</v>
      </c>
      <c r="C47" s="11">
        <f>149.6+43</f>
        <v>192.6</v>
      </c>
      <c r="D47" s="11">
        <v>87.625</v>
      </c>
      <c r="E47" s="11">
        <v>62.2</v>
      </c>
      <c r="F47" s="11">
        <v>0</v>
      </c>
      <c r="G47" s="11">
        <f>Tabla1[[#This Row],[VENTA]]+Tabla1[[#This Row],[FISICO]]-Tabla1[[#This Row],[SITEMA]]</f>
        <v>-25.424999999999997</v>
      </c>
      <c r="H47" s="5">
        <f>Tabla1[[#This Row],[DIFERENCIA]]/Tabla1[[#This Row],[RECEPCION]]</f>
        <v>-0.13200934579439252</v>
      </c>
      <c r="I47" s="8">
        <v>1</v>
      </c>
      <c r="J47" s="9">
        <f>Tabla1[[#This Row],[COSTO]]*Tabla1[[#This Row],[DIFERENCIA]]</f>
        <v>-25.424999999999997</v>
      </c>
    </row>
    <row r="48" spans="1:10" x14ac:dyDescent="0.25">
      <c r="A48" s="13">
        <v>57</v>
      </c>
      <c r="B48" s="11" t="s">
        <v>8</v>
      </c>
      <c r="C48" s="11">
        <v>32.6</v>
      </c>
      <c r="D48" s="11">
        <v>23.984999999999999</v>
      </c>
      <c r="E48" s="11">
        <v>2.4</v>
      </c>
      <c r="F48" s="11">
        <v>0</v>
      </c>
      <c r="G48" s="11">
        <f>Tabla1[[#This Row],[VENTA]]+Tabla1[[#This Row],[FISICO]]-Tabla1[[#This Row],[SITEMA]]</f>
        <v>-21.585000000000001</v>
      </c>
      <c r="H48" s="5">
        <f>Tabla1[[#This Row],[DIFERENCIA]]/Tabla1[[#This Row],[RECEPCION]]</f>
        <v>-0.66211656441717792</v>
      </c>
      <c r="I48" s="8">
        <v>0.76</v>
      </c>
      <c r="J48" s="9">
        <f>Tabla1[[#This Row],[COSTO]]*Tabla1[[#This Row],[DIFERENCIA]]</f>
        <v>-16.404600000000002</v>
      </c>
    </row>
    <row r="49" spans="1:10" x14ac:dyDescent="0.25">
      <c r="A49" s="13">
        <v>58</v>
      </c>
      <c r="B49" s="11" t="s">
        <v>75</v>
      </c>
      <c r="C49" s="11">
        <f>51+81.6</f>
        <v>132.6</v>
      </c>
      <c r="D49" s="11">
        <v>109.715</v>
      </c>
      <c r="E49" s="11">
        <v>80</v>
      </c>
      <c r="F49" s="11">
        <v>3.47</v>
      </c>
      <c r="G49" s="11">
        <f>Tabla1[[#This Row],[VENTA]]+Tabla1[[#This Row],[FISICO]]-Tabla1[[#This Row],[SITEMA]]</f>
        <v>-26.245000000000005</v>
      </c>
      <c r="H49" s="5">
        <f>Tabla1[[#This Row],[DIFERENCIA]]/Tabla1[[#This Row],[RECEPCION]]</f>
        <v>-0.19792609351432885</v>
      </c>
      <c r="I49" s="8">
        <v>0.68</v>
      </c>
      <c r="J49" s="9">
        <f>Tabla1[[#This Row],[COSTO]]*Tabla1[[#This Row],[DIFERENCIA]]</f>
        <v>-17.846600000000006</v>
      </c>
    </row>
    <row r="50" spans="1:10" x14ac:dyDescent="0.25">
      <c r="A50" s="13">
        <v>59</v>
      </c>
      <c r="B50" s="11" t="s">
        <v>79</v>
      </c>
      <c r="C50" s="11"/>
      <c r="D50" s="11">
        <v>9.5000000000000001E-2</v>
      </c>
      <c r="E50" s="11"/>
      <c r="F50" s="11"/>
      <c r="G50" s="11">
        <f>Tabla1[[#This Row],[VENTA]]+Tabla1[[#This Row],[FISICO]]-Tabla1[[#This Row],[SITEMA]]</f>
        <v>-9.5000000000000001E-2</v>
      </c>
      <c r="H50" s="5">
        <v>0</v>
      </c>
      <c r="I50" s="8">
        <v>1.1299999999999999</v>
      </c>
      <c r="J50" s="9">
        <f>Tabla1[[#This Row],[COSTO]]*Tabla1[[#This Row],[DIFERENCIA]]</f>
        <v>-0.10734999999999999</v>
      </c>
    </row>
    <row r="51" spans="1:10" x14ac:dyDescent="0.25">
      <c r="A51" s="13">
        <v>60</v>
      </c>
      <c r="B51" s="11" t="s">
        <v>85</v>
      </c>
      <c r="C51" s="11">
        <f>14.2+159</f>
        <v>173.2</v>
      </c>
      <c r="D51" s="11">
        <v>56.67</v>
      </c>
      <c r="E51" s="11">
        <v>22.8</v>
      </c>
      <c r="F51" s="11">
        <v>11.67</v>
      </c>
      <c r="G51" s="11">
        <f>Tabla1[[#This Row],[VENTA]]+Tabla1[[#This Row],[FISICO]]-Tabla1[[#This Row],[SITEMA]]</f>
        <v>-22.200000000000003</v>
      </c>
      <c r="H51" s="5">
        <f>Tabla1[[#This Row],[DIFERENCIA]]/Tabla1[[#This Row],[RECEPCION]]</f>
        <v>-0.12817551963048501</v>
      </c>
      <c r="I51" s="8">
        <v>1.35</v>
      </c>
      <c r="J51" s="9">
        <f>Tabla1[[#This Row],[COSTO]]*Tabla1[[#This Row],[DIFERENCIA]]</f>
        <v>-29.970000000000006</v>
      </c>
    </row>
    <row r="52" spans="1:10" x14ac:dyDescent="0.25">
      <c r="A52" s="13">
        <v>61</v>
      </c>
      <c r="B52" s="11" t="s">
        <v>83</v>
      </c>
      <c r="C52" s="11">
        <v>297.8</v>
      </c>
      <c r="D52" s="11">
        <v>79.375</v>
      </c>
      <c r="E52" s="11">
        <v>43.4</v>
      </c>
      <c r="F52" s="11">
        <v>5.98</v>
      </c>
      <c r="G52" s="11">
        <f>Tabla1[[#This Row],[VENTA]]+Tabla1[[#This Row],[FISICO]]-Tabla1[[#This Row],[SITEMA]]</f>
        <v>-29.995000000000005</v>
      </c>
      <c r="H52" s="5">
        <f>Tabla1[[#This Row],[DIFERENCIA]]/Tabla1[[#This Row],[RECEPCION]]</f>
        <v>-0.10072196104768302</v>
      </c>
      <c r="I52" s="8">
        <v>0.39</v>
      </c>
      <c r="J52" s="9">
        <f>Tabla1[[#This Row],[COSTO]]*Tabla1[[#This Row],[DIFERENCIA]]</f>
        <v>-11.698050000000002</v>
      </c>
    </row>
    <row r="53" spans="1:10" x14ac:dyDescent="0.25">
      <c r="A53" s="13">
        <v>63</v>
      </c>
      <c r="B53" s="11" t="s">
        <v>84</v>
      </c>
      <c r="C53" s="11"/>
      <c r="D53" s="11">
        <v>3.4249999999999998</v>
      </c>
      <c r="E53" s="11"/>
      <c r="F53" s="11"/>
      <c r="G53" s="11">
        <f>Tabla1[[#This Row],[VENTA]]+Tabla1[[#This Row],[FISICO]]-Tabla1[[#This Row],[SITEMA]]</f>
        <v>-3.4249999999999998</v>
      </c>
      <c r="H53" s="5">
        <v>0</v>
      </c>
      <c r="I53" s="8">
        <v>0.46</v>
      </c>
      <c r="J53" s="9">
        <f>Tabla1[[#This Row],[COSTO]]*Tabla1[[#This Row],[DIFERENCIA]]</f>
        <v>-1.5754999999999999</v>
      </c>
    </row>
    <row r="54" spans="1:10" x14ac:dyDescent="0.25">
      <c r="A54" s="13">
        <v>64</v>
      </c>
      <c r="B54" s="11" t="s">
        <v>29</v>
      </c>
      <c r="C54" s="11"/>
      <c r="D54" s="11">
        <v>2.2450000000000001</v>
      </c>
      <c r="E54" s="11"/>
      <c r="F54" s="11"/>
      <c r="G54" s="11">
        <f>Tabla1[[#This Row],[VENTA]]+Tabla1[[#This Row],[FISICO]]-Tabla1[[#This Row],[SITEMA]]</f>
        <v>-2.2450000000000001</v>
      </c>
      <c r="H54" s="5">
        <v>0</v>
      </c>
      <c r="I54" s="8">
        <v>1.81</v>
      </c>
      <c r="J54" s="9">
        <f>Tabla1[[#This Row],[COSTO]]*Tabla1[[#This Row],[DIFERENCIA]]</f>
        <v>-4.0634500000000005</v>
      </c>
    </row>
    <row r="55" spans="1:10" x14ac:dyDescent="0.25">
      <c r="A55" s="13">
        <v>65</v>
      </c>
      <c r="B55" s="11" t="s">
        <v>2</v>
      </c>
      <c r="C55" s="11"/>
      <c r="D55" s="11">
        <v>0.12</v>
      </c>
      <c r="E55" s="11"/>
      <c r="F55" s="11"/>
      <c r="G55" s="11">
        <f>Tabla1[[#This Row],[VENTA]]+Tabla1[[#This Row],[FISICO]]-Tabla1[[#This Row],[SITEMA]]</f>
        <v>-0.12</v>
      </c>
      <c r="H55" s="5">
        <v>0</v>
      </c>
      <c r="I55" s="8">
        <v>1.88</v>
      </c>
      <c r="J55" s="9">
        <f>Tabla1[[#This Row],[COSTO]]*Tabla1[[#This Row],[DIFERENCIA]]</f>
        <v>-0.22559999999999997</v>
      </c>
    </row>
    <row r="56" spans="1:10" x14ac:dyDescent="0.25">
      <c r="A56" s="13">
        <v>67</v>
      </c>
      <c r="B56" s="11" t="s">
        <v>82</v>
      </c>
      <c r="C56" s="11">
        <v>196.2</v>
      </c>
      <c r="D56" s="11">
        <v>33.405000000000001</v>
      </c>
      <c r="E56" s="11">
        <v>1.8</v>
      </c>
      <c r="F56" s="11">
        <v>3.86</v>
      </c>
      <c r="G56" s="11">
        <f>Tabla1[[#This Row],[VENTA]]+Tabla1[[#This Row],[FISICO]]-Tabla1[[#This Row],[SITEMA]]</f>
        <v>-27.745000000000001</v>
      </c>
      <c r="H56" s="5">
        <f>Tabla1[[#This Row],[DIFERENCIA]]/Tabla1[[#This Row],[RECEPCION]]</f>
        <v>-0.14141182466870542</v>
      </c>
      <c r="I56" s="8">
        <v>1.52</v>
      </c>
      <c r="J56" s="9">
        <f>Tabla1[[#This Row],[COSTO]]*Tabla1[[#This Row],[DIFERENCIA]]</f>
        <v>-42.172400000000003</v>
      </c>
    </row>
    <row r="57" spans="1:10" x14ac:dyDescent="0.25">
      <c r="A57" s="13">
        <v>70</v>
      </c>
      <c r="B57" s="11" t="s">
        <v>78</v>
      </c>
      <c r="C57" s="11">
        <f>7.6+39.2</f>
        <v>46.800000000000004</v>
      </c>
      <c r="D57" s="11">
        <v>19.39</v>
      </c>
      <c r="E57" s="11">
        <v>5.0999999999999996</v>
      </c>
      <c r="F57" s="11">
        <v>0.53</v>
      </c>
      <c r="G57" s="11">
        <f>Tabla1[[#This Row],[VENTA]]+Tabla1[[#This Row],[FISICO]]-Tabla1[[#This Row],[SITEMA]]</f>
        <v>-13.760000000000002</v>
      </c>
      <c r="H57" s="5">
        <f>Tabla1[[#This Row],[DIFERENCIA]]/Tabla1[[#This Row],[RECEPCION]]</f>
        <v>-0.29401709401709403</v>
      </c>
      <c r="I57" s="8">
        <v>0.63</v>
      </c>
      <c r="J57" s="9">
        <f>Tabla1[[#This Row],[COSTO]]*Tabla1[[#This Row],[DIFERENCIA]]</f>
        <v>-8.6688000000000009</v>
      </c>
    </row>
    <row r="58" spans="1:10" x14ac:dyDescent="0.25">
      <c r="A58" s="13">
        <v>71</v>
      </c>
      <c r="B58" s="11" t="s">
        <v>33</v>
      </c>
      <c r="C58" s="11">
        <v>596.79999999999995</v>
      </c>
      <c r="D58" s="11">
        <v>85.834999999999994</v>
      </c>
      <c r="E58" s="11">
        <v>1.69</v>
      </c>
      <c r="F58" s="11">
        <v>5.27</v>
      </c>
      <c r="G58" s="11">
        <f>Tabla1[[#This Row],[VENTA]]+Tabla1[[#This Row],[FISICO]]-Tabla1[[#This Row],[SITEMA]]</f>
        <v>-78.875</v>
      </c>
      <c r="H58" s="5">
        <f>Tabla1[[#This Row],[DIFERENCIA]]/Tabla1[[#This Row],[RECEPCION]]</f>
        <v>-0.13216320375335122</v>
      </c>
      <c r="I58" s="8">
        <v>0.62</v>
      </c>
      <c r="J58" s="9">
        <f>Tabla1[[#This Row],[COSTO]]*Tabla1[[#This Row],[DIFERENCIA]]</f>
        <v>-48.902499999999996</v>
      </c>
    </row>
    <row r="59" spans="1:10" x14ac:dyDescent="0.25">
      <c r="A59" s="13">
        <v>72</v>
      </c>
      <c r="B59" s="11" t="s">
        <v>34</v>
      </c>
      <c r="C59" s="11">
        <v>23.2</v>
      </c>
      <c r="D59" s="11">
        <v>9.1649999999999991</v>
      </c>
      <c r="E59" s="11">
        <v>5</v>
      </c>
      <c r="F59" s="11">
        <v>0</v>
      </c>
      <c r="G59" s="11">
        <f>Tabla1[[#This Row],[VENTA]]+Tabla1[[#This Row],[FISICO]]-Tabla1[[#This Row],[SITEMA]]</f>
        <v>-4.1649999999999991</v>
      </c>
      <c r="H59" s="5">
        <f>Tabla1[[#This Row],[DIFERENCIA]]/Tabla1[[#This Row],[RECEPCION]]</f>
        <v>-0.17952586206896548</v>
      </c>
      <c r="I59" s="8">
        <v>1.72</v>
      </c>
      <c r="J59" s="9">
        <f>Tabla1[[#This Row],[COSTO]]*Tabla1[[#This Row],[DIFERENCIA]]</f>
        <v>-7.1637999999999984</v>
      </c>
    </row>
    <row r="60" spans="1:10" x14ac:dyDescent="0.25">
      <c r="A60" s="13">
        <v>78</v>
      </c>
      <c r="B60" s="11" t="s">
        <v>36</v>
      </c>
      <c r="C60" s="11"/>
      <c r="D60" s="11">
        <v>11.93</v>
      </c>
      <c r="E60" s="11"/>
      <c r="F60" s="11"/>
      <c r="G60" s="11">
        <f>Tabla1[[#This Row],[VENTA]]+Tabla1[[#This Row],[FISICO]]-Tabla1[[#This Row],[SITEMA]]</f>
        <v>-11.93</v>
      </c>
      <c r="H60" s="5">
        <v>0</v>
      </c>
      <c r="I60" s="8">
        <v>1.44</v>
      </c>
      <c r="J60" s="9">
        <f>Tabla1[[#This Row],[COSTO]]*Tabla1[[#This Row],[DIFERENCIA]]</f>
        <v>-17.179199999999998</v>
      </c>
    </row>
    <row r="61" spans="1:10" x14ac:dyDescent="0.25">
      <c r="A61" s="13">
        <v>83</v>
      </c>
      <c r="B61" s="11" t="s">
        <v>37</v>
      </c>
      <c r="C61" s="11">
        <v>20.2</v>
      </c>
      <c r="D61" s="11">
        <v>12.13</v>
      </c>
      <c r="E61" s="11">
        <v>11.4</v>
      </c>
      <c r="F61" s="11">
        <v>0.62</v>
      </c>
      <c r="G61" s="11">
        <f>Tabla1[[#This Row],[VENTA]]+Tabla1[[#This Row],[FISICO]]-Tabla1[[#This Row],[SITEMA]]</f>
        <v>-0.11000000000000121</v>
      </c>
      <c r="H61" s="5">
        <f>Tabla1[[#This Row],[DIFERENCIA]]/Tabla1[[#This Row],[RECEPCION]]</f>
        <v>-5.4455445544555059E-3</v>
      </c>
      <c r="I61" s="8">
        <v>1.48</v>
      </c>
      <c r="J61" s="9">
        <f>Tabla1[[#This Row],[COSTO]]*Tabla1[[#This Row],[DIFERENCIA]]</f>
        <v>-0.16280000000000178</v>
      </c>
    </row>
    <row r="62" spans="1:10" x14ac:dyDescent="0.25">
      <c r="A62" s="13">
        <v>85</v>
      </c>
      <c r="B62" s="11" t="s">
        <v>77</v>
      </c>
      <c r="C62" s="11">
        <f>432.6+10.2</f>
        <v>442.8</v>
      </c>
      <c r="D62" s="11">
        <v>21.74</v>
      </c>
      <c r="E62" s="11">
        <v>20.399999999999999</v>
      </c>
      <c r="F62" s="11">
        <v>11.79</v>
      </c>
      <c r="G62" s="11">
        <f>Tabla1[[#This Row],[VENTA]]+Tabla1[[#This Row],[FISICO]]-Tabla1[[#This Row],[SITEMA]]</f>
        <v>10.45</v>
      </c>
      <c r="H62" s="5">
        <f>Tabla1[[#This Row],[DIFERENCIA]]/Tabla1[[#This Row],[RECEPCION]]</f>
        <v>2.3599819331526647E-2</v>
      </c>
      <c r="I62" s="8">
        <v>0.6</v>
      </c>
      <c r="J62" s="9">
        <f>Tabla1[[#This Row],[COSTO]]*Tabla1[[#This Row],[DIFERENCIA]]</f>
        <v>6.27</v>
      </c>
    </row>
    <row r="63" spans="1:10" x14ac:dyDescent="0.25">
      <c r="A63" s="13">
        <v>87</v>
      </c>
      <c r="B63" s="11" t="s">
        <v>3</v>
      </c>
      <c r="C63" s="11"/>
      <c r="D63" s="11">
        <v>0.73</v>
      </c>
      <c r="E63" s="11"/>
      <c r="F63" s="11"/>
      <c r="G63" s="11">
        <f>Tabla1[[#This Row],[VENTA]]+Tabla1[[#This Row],[FISICO]]-Tabla1[[#This Row],[SITEMA]]</f>
        <v>-0.73</v>
      </c>
      <c r="H63" s="5">
        <v>0</v>
      </c>
      <c r="I63" s="8">
        <v>2</v>
      </c>
      <c r="J63" s="9">
        <f>Tabla1[[#This Row],[COSTO]]*Tabla1[[#This Row],[DIFERENCIA]]</f>
        <v>-1.46</v>
      </c>
    </row>
    <row r="64" spans="1:10" x14ac:dyDescent="0.25">
      <c r="A64" s="13">
        <v>1775</v>
      </c>
      <c r="B64" s="11" t="s">
        <v>7</v>
      </c>
      <c r="C64" s="11"/>
      <c r="D64" s="11">
        <v>0.48</v>
      </c>
      <c r="E64" s="11"/>
      <c r="F64" s="11"/>
      <c r="G64" s="11">
        <f>Tabla1[[#This Row],[VENTA]]+Tabla1[[#This Row],[FISICO]]-Tabla1[[#This Row],[SITEMA]]</f>
        <v>-0.48</v>
      </c>
      <c r="H64" s="5">
        <v>0</v>
      </c>
      <c r="I64" s="8">
        <v>0.65</v>
      </c>
      <c r="J64" s="9">
        <f>Tabla1[[#This Row],[COSTO]]*Tabla1[[#This Row],[DIFERENCIA]]</f>
        <v>-0.312</v>
      </c>
    </row>
    <row r="65" spans="1:10" x14ac:dyDescent="0.25">
      <c r="A65" s="13">
        <v>2078</v>
      </c>
      <c r="B65" s="11" t="s">
        <v>30</v>
      </c>
      <c r="C65" s="11">
        <f>80+5</f>
        <v>85</v>
      </c>
      <c r="D65" s="11">
        <v>8</v>
      </c>
      <c r="E65" s="11">
        <v>2</v>
      </c>
      <c r="F65" s="11">
        <v>7</v>
      </c>
      <c r="G65" s="11">
        <f>Tabla1[[#This Row],[VENTA]]+Tabla1[[#This Row],[FISICO]]-Tabla1[[#This Row],[SITEMA]]</f>
        <v>1</v>
      </c>
      <c r="H65" s="5">
        <f>Tabla1[[#This Row],[DIFERENCIA]]/Tabla1[[#This Row],[RECEPCION]]</f>
        <v>1.1764705882352941E-2</v>
      </c>
      <c r="I65" s="8">
        <v>1.9</v>
      </c>
      <c r="J65" s="9">
        <f>Tabla1[[#This Row],[COSTO]]*Tabla1[[#This Row],[DIFERENCIA]]</f>
        <v>1.9</v>
      </c>
    </row>
    <row r="66" spans="1:10" x14ac:dyDescent="0.25">
      <c r="A66" s="13">
        <v>2079</v>
      </c>
      <c r="B66" s="11" t="s">
        <v>38</v>
      </c>
      <c r="C66" s="11">
        <v>95.6</v>
      </c>
      <c r="D66" s="11">
        <v>37.29</v>
      </c>
      <c r="E66" s="11">
        <f>25+3.64</f>
        <v>28.64</v>
      </c>
      <c r="F66" s="11">
        <v>1.95</v>
      </c>
      <c r="G66" s="11">
        <f>Tabla1[[#This Row],[VENTA]]+Tabla1[[#This Row],[FISICO]]-Tabla1[[#This Row],[SITEMA]]</f>
        <v>-6.6999999999999993</v>
      </c>
      <c r="H66" s="5">
        <f>Tabla1[[#This Row],[DIFERENCIA]]/Tabla1[[#This Row],[RECEPCION]]</f>
        <v>-7.0083682008368203E-2</v>
      </c>
      <c r="I66" s="8">
        <v>2.85</v>
      </c>
      <c r="J66" s="9">
        <f>Tabla1[[#This Row],[COSTO]]*Tabla1[[#This Row],[DIFERENCIA]]</f>
        <v>-19.094999999999999</v>
      </c>
    </row>
    <row r="67" spans="1:10" x14ac:dyDescent="0.25">
      <c r="A67" s="13">
        <v>2104</v>
      </c>
      <c r="B67" s="11" t="s">
        <v>35</v>
      </c>
      <c r="C67" s="11"/>
      <c r="D67" s="11">
        <v>16</v>
      </c>
      <c r="E67" s="11">
        <v>13</v>
      </c>
      <c r="F67" s="11">
        <v>4</v>
      </c>
      <c r="G67" s="11">
        <f>Tabla1[[#This Row],[VENTA]]+Tabla1[[#This Row],[FISICO]]-Tabla1[[#This Row],[SITEMA]]</f>
        <v>1</v>
      </c>
      <c r="H67" s="5">
        <v>0</v>
      </c>
      <c r="I67" s="8">
        <v>0.34</v>
      </c>
      <c r="J67" s="9">
        <f>Tabla1[[#This Row],[COSTO]]*Tabla1[[#This Row],[DIFERENCIA]]</f>
        <v>0.34</v>
      </c>
    </row>
    <row r="68" spans="1:10" x14ac:dyDescent="0.25">
      <c r="A68" s="13">
        <v>2105</v>
      </c>
      <c r="B68" s="11" t="s">
        <v>52</v>
      </c>
      <c r="C68" s="11"/>
      <c r="D68" s="11">
        <v>18</v>
      </c>
      <c r="E68" s="11"/>
      <c r="F68" s="11"/>
      <c r="G68" s="11">
        <f>Tabla1[[#This Row],[VENTA]]+Tabla1[[#This Row],[FISICO]]-Tabla1[[#This Row],[SITEMA]]</f>
        <v>-18</v>
      </c>
      <c r="H68" s="5">
        <v>0</v>
      </c>
      <c r="I68" s="8">
        <v>0.48</v>
      </c>
      <c r="J68" s="9">
        <f>Tabla1[[#This Row],[COSTO]]*Tabla1[[#This Row],[DIFERENCIA]]</f>
        <v>-8.64</v>
      </c>
    </row>
    <row r="69" spans="1:10" x14ac:dyDescent="0.25">
      <c r="A69" s="13">
        <v>2569</v>
      </c>
      <c r="B69" s="11" t="s">
        <v>91</v>
      </c>
      <c r="C69" s="11"/>
      <c r="D69" s="11">
        <v>2.52</v>
      </c>
      <c r="E69" s="11"/>
      <c r="F69" s="11"/>
      <c r="G69" s="11">
        <f>Tabla1[[#This Row],[VENTA]]+Tabla1[[#This Row],[FISICO]]-Tabla1[[#This Row],[SITEMA]]</f>
        <v>-2.52</v>
      </c>
      <c r="H69" s="5">
        <v>0</v>
      </c>
      <c r="I69" s="8">
        <v>2.33</v>
      </c>
      <c r="J69" s="9">
        <f>Tabla1[[#This Row],[COSTO]]*Tabla1[[#This Row],[DIFERENCIA]]</f>
        <v>-5.8715999999999999</v>
      </c>
    </row>
    <row r="70" spans="1:10" x14ac:dyDescent="0.25">
      <c r="A70" s="13">
        <v>2763</v>
      </c>
      <c r="B70" s="11" t="s">
        <v>44</v>
      </c>
      <c r="C70" s="11"/>
      <c r="D70" s="11">
        <v>0</v>
      </c>
      <c r="E70" s="11"/>
      <c r="F70" s="11"/>
      <c r="G70" s="11">
        <f>Tabla1[[#This Row],[VENTA]]+Tabla1[[#This Row],[FISICO]]-Tabla1[[#This Row],[SITEMA]]</f>
        <v>0</v>
      </c>
      <c r="H70" s="5">
        <v>0</v>
      </c>
      <c r="I70" s="8"/>
      <c r="J70" s="9">
        <v>0</v>
      </c>
    </row>
    <row r="71" spans="1:10" x14ac:dyDescent="0.25">
      <c r="A71" s="13">
        <v>3079</v>
      </c>
      <c r="B71" s="11" t="s">
        <v>62</v>
      </c>
      <c r="C71" s="11">
        <v>0</v>
      </c>
      <c r="D71" s="11">
        <v>2</v>
      </c>
      <c r="E71" s="11">
        <v>2</v>
      </c>
      <c r="F71" s="11">
        <v>0</v>
      </c>
      <c r="G71" s="11">
        <f>Tabla1[[#This Row],[VENTA]]+Tabla1[[#This Row],[FISICO]]-Tabla1[[#This Row],[SITEMA]]</f>
        <v>0</v>
      </c>
      <c r="H71" s="5">
        <v>0</v>
      </c>
      <c r="I71" s="8"/>
      <c r="J71" s="9">
        <v>0</v>
      </c>
    </row>
    <row r="72" spans="1:10" x14ac:dyDescent="0.25">
      <c r="A72" s="13">
        <v>3080</v>
      </c>
      <c r="B72" s="11" t="s">
        <v>64</v>
      </c>
      <c r="C72" s="11">
        <v>0</v>
      </c>
      <c r="D72" s="11">
        <v>1</v>
      </c>
      <c r="E72" s="11">
        <v>1</v>
      </c>
      <c r="F72" s="11">
        <v>0</v>
      </c>
      <c r="G72" s="11">
        <f>Tabla1[[#This Row],[VENTA]]+Tabla1[[#This Row],[FISICO]]-Tabla1[[#This Row],[SITEMA]]</f>
        <v>0</v>
      </c>
      <c r="H72" s="5">
        <v>0</v>
      </c>
      <c r="I72" s="8"/>
      <c r="J72" s="9">
        <v>0</v>
      </c>
    </row>
    <row r="73" spans="1:10" x14ac:dyDescent="0.25">
      <c r="A73" s="13">
        <v>3083</v>
      </c>
      <c r="B73" s="11" t="s">
        <v>63</v>
      </c>
      <c r="C73" s="11">
        <v>0</v>
      </c>
      <c r="D73" s="11">
        <v>6</v>
      </c>
      <c r="E73" s="11">
        <v>6</v>
      </c>
      <c r="F73" s="11">
        <v>0</v>
      </c>
      <c r="G73" s="11">
        <f>Tabla1[[#This Row],[VENTA]]+Tabla1[[#This Row],[FISICO]]-Tabla1[[#This Row],[SITEMA]]</f>
        <v>0</v>
      </c>
      <c r="H73" s="5">
        <v>0</v>
      </c>
      <c r="I73" s="8"/>
      <c r="J73" s="9">
        <v>0</v>
      </c>
    </row>
    <row r="74" spans="1:10" x14ac:dyDescent="0.25">
      <c r="A74" s="13">
        <v>3524</v>
      </c>
      <c r="B74" s="11" t="s">
        <v>58</v>
      </c>
      <c r="C74" s="11">
        <f>160+10</f>
        <v>170</v>
      </c>
      <c r="D74" s="11">
        <v>104</v>
      </c>
      <c r="E74" s="11">
        <v>96</v>
      </c>
      <c r="F74" s="11">
        <v>7</v>
      </c>
      <c r="G74" s="11">
        <f>Tabla1[[#This Row],[VENTA]]+Tabla1[[#This Row],[FISICO]]-Tabla1[[#This Row],[SITEMA]]</f>
        <v>-1</v>
      </c>
      <c r="H74" s="5">
        <f>Tabla1[[#This Row],[DIFERENCIA]]/Tabla1[[#This Row],[RECEPCION]]</f>
        <v>-5.8823529411764705E-3</v>
      </c>
      <c r="I74" s="8">
        <v>1.33</v>
      </c>
      <c r="J74" s="9">
        <f>Tabla1[[#This Row],[COSTO]]*Tabla1[[#This Row],[DIFERENCIA]]</f>
        <v>-1.33</v>
      </c>
    </row>
    <row r="75" spans="1:10" x14ac:dyDescent="0.25">
      <c r="A75" s="13">
        <v>3525</v>
      </c>
      <c r="B75" s="11" t="s">
        <v>65</v>
      </c>
      <c r="C75" s="11">
        <v>15</v>
      </c>
      <c r="D75" s="11">
        <v>19</v>
      </c>
      <c r="E75" s="11">
        <v>19</v>
      </c>
      <c r="F75" s="11"/>
      <c r="G75" s="11">
        <f>Tabla1[[#This Row],[VENTA]]+Tabla1[[#This Row],[FISICO]]-Tabla1[[#This Row],[SITEMA]]</f>
        <v>0</v>
      </c>
      <c r="H75" s="5">
        <f>Tabla1[[#This Row],[DIFERENCIA]]/Tabla1[[#This Row],[RECEPCION]]</f>
        <v>0</v>
      </c>
      <c r="I75" s="8"/>
      <c r="J75" s="9">
        <v>0</v>
      </c>
    </row>
    <row r="76" spans="1:10" x14ac:dyDescent="0.25">
      <c r="A76" s="13">
        <v>3586</v>
      </c>
      <c r="B76" s="11" t="s">
        <v>71</v>
      </c>
      <c r="C76" s="11">
        <v>13</v>
      </c>
      <c r="D76" s="11">
        <v>12</v>
      </c>
      <c r="E76" s="11">
        <v>10</v>
      </c>
      <c r="F76" s="11">
        <v>1</v>
      </c>
      <c r="G76" s="11">
        <f>Tabla1[[#This Row],[VENTA]]+Tabla1[[#This Row],[FISICO]]-Tabla1[[#This Row],[SITEMA]]</f>
        <v>-1</v>
      </c>
      <c r="H76" s="5">
        <f>Tabla1[[#This Row],[DIFERENCIA]]/Tabla1[[#This Row],[RECEPCION]]</f>
        <v>-7.6923076923076927E-2</v>
      </c>
      <c r="I76" s="8">
        <v>0.56999999999999995</v>
      </c>
      <c r="J76" s="9">
        <f>Tabla1[[#This Row],[COSTO]]*Tabla1[[#This Row],[DIFERENCIA]]</f>
        <v>-0.56999999999999995</v>
      </c>
    </row>
    <row r="77" spans="1:10" x14ac:dyDescent="0.25">
      <c r="A77" s="13">
        <v>3655</v>
      </c>
      <c r="B77" s="11" t="s">
        <v>68</v>
      </c>
      <c r="C77" s="11">
        <f>30+5</f>
        <v>35</v>
      </c>
      <c r="D77" s="11">
        <v>15</v>
      </c>
      <c r="E77" s="11">
        <v>15</v>
      </c>
      <c r="F77" s="11"/>
      <c r="G77" s="11">
        <f>Tabla1[[#This Row],[VENTA]]+Tabla1[[#This Row],[FISICO]]-Tabla1[[#This Row],[SITEMA]]</f>
        <v>0</v>
      </c>
      <c r="H77" s="5">
        <f>Tabla1[[#This Row],[DIFERENCIA]]/Tabla1[[#This Row],[RECEPCION]]</f>
        <v>0</v>
      </c>
      <c r="I77" s="8"/>
      <c r="J77" s="9">
        <v>0</v>
      </c>
    </row>
    <row r="78" spans="1:10" x14ac:dyDescent="0.25">
      <c r="A78" s="13">
        <v>4218</v>
      </c>
      <c r="B78" s="11" t="s">
        <v>70</v>
      </c>
      <c r="C78" s="11">
        <f>20+11</f>
        <v>31</v>
      </c>
      <c r="D78" s="11">
        <v>17</v>
      </c>
      <c r="E78" s="11">
        <v>16</v>
      </c>
      <c r="F78" s="11">
        <v>0</v>
      </c>
      <c r="G78" s="11">
        <f>Tabla1[[#This Row],[VENTA]]+Tabla1[[#This Row],[FISICO]]-Tabla1[[#This Row],[SITEMA]]</f>
        <v>-1</v>
      </c>
      <c r="H78" s="5">
        <f>Tabla1[[#This Row],[DIFERENCIA]]/Tabla1[[#This Row],[RECEPCION]]</f>
        <v>-3.2258064516129031E-2</v>
      </c>
      <c r="I78" s="8">
        <v>3.44</v>
      </c>
      <c r="J78" s="9">
        <f>Tabla1[[#This Row],[COSTO]]*Tabla1[[#This Row],[DIFERENCIA]]</f>
        <v>-3.44</v>
      </c>
    </row>
    <row r="79" spans="1:10" x14ac:dyDescent="0.25">
      <c r="A79" s="13">
        <v>5499</v>
      </c>
      <c r="B79" s="11" t="s">
        <v>69</v>
      </c>
      <c r="C79" s="11">
        <f>30+24</f>
        <v>54</v>
      </c>
      <c r="D79" s="11">
        <v>41</v>
      </c>
      <c r="E79" s="11">
        <v>40</v>
      </c>
      <c r="F79" s="11">
        <v>1</v>
      </c>
      <c r="G79" s="11">
        <f>Tabla1[[#This Row],[VENTA]]+Tabla1[[#This Row],[FISICO]]-Tabla1[[#This Row],[SITEMA]]</f>
        <v>0</v>
      </c>
      <c r="H79" s="5">
        <f>Tabla1[[#This Row],[DIFERENCIA]]/Tabla1[[#This Row],[RECEPCION]]</f>
        <v>0</v>
      </c>
      <c r="I79" s="8"/>
      <c r="J79" s="9">
        <v>0</v>
      </c>
    </row>
    <row r="80" spans="1:10" x14ac:dyDescent="0.25">
      <c r="A80" s="13">
        <v>6370</v>
      </c>
      <c r="B80" s="11" t="s">
        <v>27</v>
      </c>
      <c r="C80" s="11">
        <f>106+20</f>
        <v>126</v>
      </c>
      <c r="D80" s="11">
        <v>82</v>
      </c>
      <c r="E80" s="11">
        <v>46</v>
      </c>
      <c r="F80" s="11">
        <v>0</v>
      </c>
      <c r="G80" s="11">
        <f>Tabla1[[#This Row],[VENTA]]+Tabla1[[#This Row],[FISICO]]-Tabla1[[#This Row],[SITEMA]]</f>
        <v>-36</v>
      </c>
      <c r="H80" s="5">
        <f>Tabla1[[#This Row],[DIFERENCIA]]/Tabla1[[#This Row],[RECEPCION]]</f>
        <v>-0.2857142857142857</v>
      </c>
      <c r="I80" s="8">
        <v>2.38</v>
      </c>
      <c r="J80" s="9">
        <f>Tabla1[[#This Row],[COSTO]]*Tabla1[[#This Row],[DIFERENCIA]]</f>
        <v>-85.679999999999993</v>
      </c>
    </row>
    <row r="81" spans="1:10" x14ac:dyDescent="0.25">
      <c r="A81" s="13">
        <v>6731</v>
      </c>
      <c r="B81" s="11" t="s">
        <v>104</v>
      </c>
      <c r="C81" s="11"/>
      <c r="D81" s="11">
        <v>0</v>
      </c>
      <c r="E81" s="11"/>
      <c r="F81" s="11"/>
      <c r="G81" s="11">
        <f>Tabla1[[#This Row],[VENTA]]+Tabla1[[#This Row],[FISICO]]-Tabla1[[#This Row],[SITEMA]]</f>
        <v>0</v>
      </c>
      <c r="H81" s="5">
        <v>0</v>
      </c>
      <c r="I81" s="8"/>
      <c r="J81" s="9">
        <v>0</v>
      </c>
    </row>
    <row r="82" spans="1:10" x14ac:dyDescent="0.25">
      <c r="A82" s="13">
        <v>9812</v>
      </c>
      <c r="B82" s="11" t="s">
        <v>98</v>
      </c>
      <c r="C82" s="11">
        <v>60</v>
      </c>
      <c r="D82" s="11">
        <v>48</v>
      </c>
      <c r="E82" s="11">
        <v>36</v>
      </c>
      <c r="F82" s="11">
        <v>4</v>
      </c>
      <c r="G82" s="11">
        <f>Tabla1[[#This Row],[VENTA]]+Tabla1[[#This Row],[FISICO]]-Tabla1[[#This Row],[SITEMA]]</f>
        <v>-8</v>
      </c>
      <c r="H82" s="5">
        <f>Tabla1[[#This Row],[DIFERENCIA]]/Tabla1[[#This Row],[RECEPCION]]</f>
        <v>-0.13333333333333333</v>
      </c>
      <c r="I82" s="8">
        <v>2.4900000000000002</v>
      </c>
      <c r="J82" s="9">
        <f>Tabla1[[#This Row],[COSTO]]*Tabla1[[#This Row],[DIFERENCIA]]</f>
        <v>-19.920000000000002</v>
      </c>
    </row>
    <row r="83" spans="1:10" x14ac:dyDescent="0.25">
      <c r="A83" s="13">
        <v>11383</v>
      </c>
      <c r="B83" s="11" t="s">
        <v>92</v>
      </c>
      <c r="C83" s="11"/>
      <c r="D83" s="11">
        <v>0</v>
      </c>
      <c r="E83" s="11"/>
      <c r="F83" s="11"/>
      <c r="G83" s="11">
        <f>Tabla1[[#This Row],[VENTA]]+Tabla1[[#This Row],[FISICO]]-Tabla1[[#This Row],[SITEMA]]</f>
        <v>0</v>
      </c>
      <c r="H83" s="5">
        <v>0</v>
      </c>
      <c r="I83" s="8"/>
      <c r="J83" s="9">
        <v>0</v>
      </c>
    </row>
    <row r="84" spans="1:10" x14ac:dyDescent="0.25">
      <c r="A84" s="13">
        <v>11905</v>
      </c>
      <c r="B84" s="11" t="s">
        <v>31</v>
      </c>
      <c r="C84" s="11">
        <v>136</v>
      </c>
      <c r="D84" s="11">
        <v>54</v>
      </c>
      <c r="E84" s="11">
        <v>47</v>
      </c>
      <c r="F84" s="11">
        <v>0</v>
      </c>
      <c r="G84" s="11">
        <f>Tabla1[[#This Row],[VENTA]]+Tabla1[[#This Row],[FISICO]]-Tabla1[[#This Row],[SITEMA]]</f>
        <v>-7</v>
      </c>
      <c r="H84" s="5">
        <f>Tabla1[[#This Row],[DIFERENCIA]]/Tabla1[[#This Row],[RECEPCION]]</f>
        <v>-5.1470588235294115E-2</v>
      </c>
      <c r="I84" s="8">
        <v>1.52</v>
      </c>
      <c r="J84" s="9">
        <f>Tabla1[[#This Row],[COSTO]]*Tabla1[[#This Row],[DIFERENCIA]]</f>
        <v>-10.64</v>
      </c>
    </row>
    <row r="85" spans="1:10" x14ac:dyDescent="0.25">
      <c r="A85" s="13">
        <v>13619</v>
      </c>
      <c r="B85" s="11" t="s">
        <v>96</v>
      </c>
      <c r="C85" s="11">
        <v>6</v>
      </c>
      <c r="D85" s="11">
        <v>49</v>
      </c>
      <c r="E85" s="11">
        <v>40</v>
      </c>
      <c r="F85" s="11">
        <v>4</v>
      </c>
      <c r="G85" s="11">
        <f>Tabla1[[#This Row],[VENTA]]+Tabla1[[#This Row],[FISICO]]-Tabla1[[#This Row],[SITEMA]]</f>
        <v>-5</v>
      </c>
      <c r="H85" s="5">
        <f>Tabla1[[#This Row],[DIFERENCIA]]/Tabla1[[#This Row],[RECEPCION]]</f>
        <v>-0.83333333333333337</v>
      </c>
      <c r="I85" s="8">
        <v>2.11</v>
      </c>
      <c r="J85" s="9">
        <f>Tabla1[[#This Row],[COSTO]]*Tabla1[[#This Row],[DIFERENCIA]]</f>
        <v>-10.549999999999999</v>
      </c>
    </row>
    <row r="86" spans="1:10" x14ac:dyDescent="0.25">
      <c r="A86" s="13">
        <v>13731</v>
      </c>
      <c r="B86" s="11" t="s">
        <v>16</v>
      </c>
      <c r="C86" s="11">
        <f>14+E3</f>
        <v>14</v>
      </c>
      <c r="D86" s="11">
        <v>6</v>
      </c>
      <c r="E86" s="11">
        <v>2</v>
      </c>
      <c r="F86" s="11">
        <v>1</v>
      </c>
      <c r="G86" s="11">
        <f>Tabla1[[#This Row],[VENTA]]+Tabla1[[#This Row],[FISICO]]-Tabla1[[#This Row],[SITEMA]]</f>
        <v>-3</v>
      </c>
      <c r="H86" s="5">
        <f>Tabla1[[#This Row],[DIFERENCIA]]/Tabla1[[#This Row],[RECEPCION]]</f>
        <v>-0.21428571428571427</v>
      </c>
      <c r="I86" s="8">
        <v>0.36</v>
      </c>
      <c r="J86" s="9">
        <f>Tabla1[[#This Row],[COSTO]]*Tabla1[[#This Row],[DIFERENCIA]]</f>
        <v>-1.08</v>
      </c>
    </row>
    <row r="87" spans="1:10" x14ac:dyDescent="0.25">
      <c r="A87" s="13">
        <v>14211</v>
      </c>
      <c r="B87" s="11" t="s">
        <v>94</v>
      </c>
      <c r="C87" s="11">
        <f>10+0</f>
        <v>10</v>
      </c>
      <c r="D87" s="11">
        <v>2</v>
      </c>
      <c r="E87" s="11">
        <v>2</v>
      </c>
      <c r="F87" s="11">
        <v>0</v>
      </c>
      <c r="G87" s="11">
        <f>Tabla1[[#This Row],[VENTA]]+Tabla1[[#This Row],[FISICO]]-Tabla1[[#This Row],[SITEMA]]</f>
        <v>0</v>
      </c>
      <c r="H87" s="5">
        <f>Tabla1[[#This Row],[DIFERENCIA]]/Tabla1[[#This Row],[RECEPCION]]</f>
        <v>0</v>
      </c>
      <c r="I87" s="8"/>
      <c r="J87" s="9">
        <v>0</v>
      </c>
    </row>
    <row r="88" spans="1:10" x14ac:dyDescent="0.25">
      <c r="A88" s="13">
        <v>14264</v>
      </c>
      <c r="B88" s="11" t="s">
        <v>93</v>
      </c>
      <c r="C88" s="11"/>
      <c r="D88" s="11">
        <v>0</v>
      </c>
      <c r="E88" s="11"/>
      <c r="F88" s="11"/>
      <c r="G88" s="11">
        <f>Tabla1[[#This Row],[VENTA]]+Tabla1[[#This Row],[FISICO]]-Tabla1[[#This Row],[SITEMA]]</f>
        <v>0</v>
      </c>
      <c r="H88" s="5">
        <v>0</v>
      </c>
      <c r="I88" s="8"/>
      <c r="J88" s="9">
        <v>0</v>
      </c>
    </row>
    <row r="89" spans="1:10" x14ac:dyDescent="0.25">
      <c r="A89" s="13">
        <v>19636</v>
      </c>
      <c r="B89" s="11" t="s">
        <v>17</v>
      </c>
      <c r="C89" s="11">
        <v>7</v>
      </c>
      <c r="D89" s="11">
        <v>4</v>
      </c>
      <c r="E89" s="11">
        <v>8</v>
      </c>
      <c r="F89" s="11">
        <v>0</v>
      </c>
      <c r="G89" s="11">
        <f>Tabla1[[#This Row],[VENTA]]+Tabla1[[#This Row],[FISICO]]-Tabla1[[#This Row],[SITEMA]]</f>
        <v>4</v>
      </c>
      <c r="H89" s="5">
        <f>Tabla1[[#This Row],[DIFERENCIA]]/Tabla1[[#This Row],[RECEPCION]]</f>
        <v>0.5714285714285714</v>
      </c>
      <c r="I89" s="8">
        <v>0.49</v>
      </c>
      <c r="J89" s="9">
        <f>Tabla1[[#This Row],[COSTO]]*Tabla1[[#This Row],[DIFERENCIA]]</f>
        <v>1.96</v>
      </c>
    </row>
    <row r="90" spans="1:10" x14ac:dyDescent="0.25">
      <c r="A90" s="13">
        <v>19646</v>
      </c>
      <c r="B90" s="11" t="s">
        <v>12</v>
      </c>
      <c r="C90" s="11"/>
      <c r="D90" s="11">
        <v>0</v>
      </c>
      <c r="E90" s="11"/>
      <c r="F90" s="11"/>
      <c r="G90" s="11">
        <f>Tabla1[[#This Row],[VENTA]]+Tabla1[[#This Row],[FISICO]]-Tabla1[[#This Row],[SITEMA]]</f>
        <v>0</v>
      </c>
      <c r="H90" s="5">
        <v>0</v>
      </c>
      <c r="I90" s="8"/>
      <c r="J90" s="9">
        <v>0</v>
      </c>
    </row>
    <row r="91" spans="1:10" x14ac:dyDescent="0.25">
      <c r="A91" s="13">
        <v>21295</v>
      </c>
      <c r="B91" s="11" t="s">
        <v>99</v>
      </c>
      <c r="C91" s="11">
        <v>30</v>
      </c>
      <c r="D91" s="11">
        <v>14</v>
      </c>
      <c r="E91" s="11">
        <v>13</v>
      </c>
      <c r="F91" s="11">
        <v>1</v>
      </c>
      <c r="G91" s="11">
        <f>Tabla1[[#This Row],[VENTA]]+Tabla1[[#This Row],[FISICO]]-Tabla1[[#This Row],[SITEMA]]</f>
        <v>0</v>
      </c>
      <c r="H91" s="5">
        <f>Tabla1[[#This Row],[DIFERENCIA]]/Tabla1[[#This Row],[RECEPCION]]</f>
        <v>0</v>
      </c>
      <c r="I91" s="8"/>
      <c r="J91" s="9">
        <v>0</v>
      </c>
    </row>
    <row r="92" spans="1:10" x14ac:dyDescent="0.25">
      <c r="A92" s="13">
        <v>21297</v>
      </c>
      <c r="B92" s="11" t="s">
        <v>10</v>
      </c>
      <c r="C92" s="11">
        <v>41</v>
      </c>
      <c r="D92" s="11">
        <v>11</v>
      </c>
      <c r="E92" s="11">
        <v>5</v>
      </c>
      <c r="F92" s="11">
        <v>6</v>
      </c>
      <c r="G92" s="11">
        <f>Tabla1[[#This Row],[VENTA]]+Tabla1[[#This Row],[FISICO]]-Tabla1[[#This Row],[SITEMA]]</f>
        <v>0</v>
      </c>
      <c r="H92" s="5">
        <f>Tabla1[[#This Row],[DIFERENCIA]]/Tabla1[[#This Row],[RECEPCION]]</f>
        <v>0</v>
      </c>
      <c r="I92" s="8"/>
      <c r="J92" s="9">
        <v>0</v>
      </c>
    </row>
    <row r="93" spans="1:10" x14ac:dyDescent="0.25">
      <c r="A93" s="13">
        <v>21300</v>
      </c>
      <c r="B93" s="11" t="s">
        <v>67</v>
      </c>
      <c r="C93" s="11">
        <v>1</v>
      </c>
      <c r="D93" s="11">
        <v>9</v>
      </c>
      <c r="E93" s="11">
        <v>9</v>
      </c>
      <c r="F93" s="11">
        <v>0</v>
      </c>
      <c r="G93" s="11">
        <f>Tabla1[[#This Row],[VENTA]]+Tabla1[[#This Row],[FISICO]]-Tabla1[[#This Row],[SITEMA]]</f>
        <v>0</v>
      </c>
      <c r="H93" s="5">
        <f>Tabla1[[#This Row],[DIFERENCIA]]/Tabla1[[#This Row],[RECEPCION]]</f>
        <v>0</v>
      </c>
      <c r="I93" s="8"/>
      <c r="J93" s="9">
        <v>0</v>
      </c>
    </row>
    <row r="94" spans="1:10" x14ac:dyDescent="0.25">
      <c r="A94" s="13">
        <v>21377</v>
      </c>
      <c r="B94" s="11" t="s">
        <v>19</v>
      </c>
      <c r="C94" s="11"/>
      <c r="D94" s="11">
        <v>0</v>
      </c>
      <c r="E94" s="11"/>
      <c r="F94" s="11"/>
      <c r="G94" s="11">
        <f>Tabla1[[#This Row],[VENTA]]+Tabla1[[#This Row],[FISICO]]-Tabla1[[#This Row],[SITEMA]]</f>
        <v>0</v>
      </c>
      <c r="H94" s="5">
        <v>0</v>
      </c>
      <c r="I94" s="8"/>
      <c r="J94" s="9">
        <v>0</v>
      </c>
    </row>
    <row r="95" spans="1:10" x14ac:dyDescent="0.25">
      <c r="A95" s="13">
        <v>21447</v>
      </c>
      <c r="B95" s="11" t="s">
        <v>21</v>
      </c>
      <c r="C95" s="11"/>
      <c r="D95" s="11">
        <v>0</v>
      </c>
      <c r="E95" s="11"/>
      <c r="F95" s="11"/>
      <c r="G95" s="11">
        <f>Tabla1[[#This Row],[VENTA]]+Tabla1[[#This Row],[FISICO]]-Tabla1[[#This Row],[SITEMA]]</f>
        <v>0</v>
      </c>
      <c r="H95" s="5">
        <v>0</v>
      </c>
      <c r="I95" s="8"/>
      <c r="J95" s="9">
        <v>0</v>
      </c>
    </row>
    <row r="96" spans="1:10" x14ac:dyDescent="0.25">
      <c r="A96" s="13">
        <v>21454</v>
      </c>
      <c r="B96" s="11" t="s">
        <v>9</v>
      </c>
      <c r="C96" s="11"/>
      <c r="D96" s="11">
        <v>1</v>
      </c>
      <c r="E96" s="11"/>
      <c r="F96" s="11"/>
      <c r="G96" s="11">
        <f>Tabla1[[#This Row],[VENTA]]+Tabla1[[#This Row],[FISICO]]-Tabla1[[#This Row],[SITEMA]]</f>
        <v>-1</v>
      </c>
      <c r="H96" s="5">
        <v>0</v>
      </c>
      <c r="I96" s="8">
        <v>3.05</v>
      </c>
      <c r="J96" s="9">
        <f>Tabla1[[#This Row],[COSTO]]*Tabla1[[#This Row],[DIFERENCIA]]</f>
        <v>-3.05</v>
      </c>
    </row>
    <row r="97" spans="1:10" x14ac:dyDescent="0.25">
      <c r="A97" s="13">
        <v>21455</v>
      </c>
      <c r="B97" s="11" t="s">
        <v>11</v>
      </c>
      <c r="C97" s="11"/>
      <c r="D97" s="11">
        <v>0</v>
      </c>
      <c r="E97" s="11"/>
      <c r="F97" s="11"/>
      <c r="G97" s="11">
        <f>Tabla1[[#This Row],[VENTA]]+Tabla1[[#This Row],[FISICO]]-Tabla1[[#This Row],[SITEMA]]</f>
        <v>0</v>
      </c>
      <c r="H97" s="5">
        <v>0</v>
      </c>
      <c r="I97" s="8"/>
      <c r="J97" s="9">
        <v>0</v>
      </c>
    </row>
    <row r="98" spans="1:10" x14ac:dyDescent="0.25">
      <c r="A98" s="13">
        <v>21524</v>
      </c>
      <c r="B98" s="11" t="s">
        <v>14</v>
      </c>
      <c r="C98" s="11"/>
      <c r="D98" s="11">
        <v>0</v>
      </c>
      <c r="E98" s="11"/>
      <c r="F98" s="11"/>
      <c r="G98" s="11">
        <f>Tabla1[[#This Row],[VENTA]]+Tabla1[[#This Row],[FISICO]]-Tabla1[[#This Row],[SITEMA]]</f>
        <v>0</v>
      </c>
      <c r="H98" s="5">
        <v>0</v>
      </c>
      <c r="I98" s="8"/>
      <c r="J98" s="9">
        <v>0</v>
      </c>
    </row>
    <row r="99" spans="1:10" x14ac:dyDescent="0.25">
      <c r="A99" s="13">
        <v>21526</v>
      </c>
      <c r="B99" s="11" t="s">
        <v>22</v>
      </c>
      <c r="C99" s="11"/>
      <c r="D99" s="11">
        <v>0</v>
      </c>
      <c r="E99" s="11"/>
      <c r="F99" s="11"/>
      <c r="G99" s="11">
        <f>Tabla1[[#This Row],[VENTA]]+Tabla1[[#This Row],[FISICO]]-Tabla1[[#This Row],[SITEMA]]</f>
        <v>0</v>
      </c>
      <c r="H99" s="5">
        <v>0</v>
      </c>
      <c r="I99" s="8"/>
      <c r="J99" s="9">
        <v>0</v>
      </c>
    </row>
    <row r="100" spans="1:10" x14ac:dyDescent="0.25">
      <c r="A100" s="13">
        <v>21657</v>
      </c>
      <c r="B100" s="11" t="s">
        <v>102</v>
      </c>
      <c r="C100" s="11"/>
      <c r="D100" s="11">
        <v>0</v>
      </c>
      <c r="E100" s="11"/>
      <c r="F100" s="11"/>
      <c r="G100" s="11">
        <f>Tabla1[[#This Row],[VENTA]]+Tabla1[[#This Row],[FISICO]]-Tabla1[[#This Row],[SITEMA]]</f>
        <v>0</v>
      </c>
      <c r="H100" s="5">
        <v>0</v>
      </c>
      <c r="I100" s="8"/>
      <c r="J100" s="9">
        <v>0</v>
      </c>
    </row>
    <row r="101" spans="1:10" x14ac:dyDescent="0.25">
      <c r="A101" s="13">
        <v>21658</v>
      </c>
      <c r="B101" s="11" t="s">
        <v>20</v>
      </c>
      <c r="C101" s="11"/>
      <c r="D101" s="11">
        <v>0</v>
      </c>
      <c r="E101" s="11"/>
      <c r="F101" s="11"/>
      <c r="G101" s="11">
        <f>Tabla1[[#This Row],[VENTA]]+Tabla1[[#This Row],[FISICO]]-Tabla1[[#This Row],[SITEMA]]</f>
        <v>0</v>
      </c>
      <c r="H101" s="5">
        <v>0</v>
      </c>
      <c r="I101" s="8"/>
      <c r="J101" s="9">
        <v>0</v>
      </c>
    </row>
    <row r="102" spans="1:10" x14ac:dyDescent="0.25">
      <c r="A102" s="13">
        <v>21707</v>
      </c>
      <c r="B102" s="11" t="s">
        <v>13</v>
      </c>
      <c r="C102" s="11"/>
      <c r="D102" s="11">
        <v>0</v>
      </c>
      <c r="E102" s="11"/>
      <c r="F102" s="11"/>
      <c r="G102" s="11">
        <f>Tabla1[[#This Row],[VENTA]]+Tabla1[[#This Row],[FISICO]]-Tabla1[[#This Row],[SITEMA]]</f>
        <v>0</v>
      </c>
      <c r="H102" s="5">
        <v>0</v>
      </c>
      <c r="I102" s="8"/>
      <c r="J102" s="9">
        <v>0</v>
      </c>
    </row>
    <row r="103" spans="1:10" x14ac:dyDescent="0.25">
      <c r="A103" s="13">
        <v>21784</v>
      </c>
      <c r="B103" s="11" t="s">
        <v>23</v>
      </c>
      <c r="C103" s="11"/>
      <c r="D103" s="11">
        <v>0</v>
      </c>
      <c r="E103" s="11"/>
      <c r="F103" s="11"/>
      <c r="G103" s="11">
        <f>Tabla1[[#This Row],[VENTA]]+Tabla1[[#This Row],[FISICO]]-Tabla1[[#This Row],[SITEMA]]</f>
        <v>0</v>
      </c>
      <c r="H103" s="5">
        <v>0</v>
      </c>
      <c r="I103" s="8"/>
      <c r="J103" s="9">
        <v>0</v>
      </c>
    </row>
    <row r="104" spans="1:10" x14ac:dyDescent="0.25">
      <c r="A104" s="13">
        <v>21799</v>
      </c>
      <c r="B104" s="11" t="s">
        <v>66</v>
      </c>
      <c r="C104" s="11">
        <v>10</v>
      </c>
      <c r="D104" s="11">
        <v>7</v>
      </c>
      <c r="E104" s="11">
        <v>5</v>
      </c>
      <c r="F104" s="11">
        <v>1</v>
      </c>
      <c r="G104" s="11">
        <f>Tabla1[[#This Row],[VENTA]]+Tabla1[[#This Row],[FISICO]]-Tabla1[[#This Row],[SITEMA]]</f>
        <v>-1</v>
      </c>
      <c r="H104" s="5">
        <f>Tabla1[[#This Row],[DIFERENCIA]]/Tabla1[[#This Row],[RECEPCION]]</f>
        <v>-0.1</v>
      </c>
      <c r="I104" s="8">
        <v>1.08</v>
      </c>
      <c r="J104" s="9">
        <f>Tabla1[[#This Row],[COSTO]]*Tabla1[[#This Row],[DIFERENCIA]]</f>
        <v>-1.08</v>
      </c>
    </row>
    <row r="105" spans="1:10" x14ac:dyDescent="0.25">
      <c r="A105" s="13">
        <v>22405</v>
      </c>
      <c r="B105" s="11" t="s">
        <v>18</v>
      </c>
      <c r="C105" s="11"/>
      <c r="D105" s="11">
        <v>0</v>
      </c>
      <c r="E105" s="11"/>
      <c r="F105" s="11"/>
      <c r="G105" s="11">
        <f>Tabla1[[#This Row],[VENTA]]+Tabla1[[#This Row],[FISICO]]-Tabla1[[#This Row],[SITEMA]]</f>
        <v>0</v>
      </c>
      <c r="H105" s="5">
        <v>0</v>
      </c>
      <c r="I105" s="8"/>
      <c r="J105" s="9">
        <v>0</v>
      </c>
    </row>
    <row r="106" spans="1:10" x14ac:dyDescent="0.25">
      <c r="A106" s="13">
        <v>22481</v>
      </c>
      <c r="B106" s="11" t="s">
        <v>101</v>
      </c>
      <c r="C106" s="11"/>
      <c r="D106" s="11">
        <v>0</v>
      </c>
      <c r="E106" s="11"/>
      <c r="F106" s="11"/>
      <c r="G106" s="11">
        <f>Tabla1[[#This Row],[VENTA]]+Tabla1[[#This Row],[FISICO]]-Tabla1[[#This Row],[SITEMA]]</f>
        <v>0</v>
      </c>
      <c r="H106" s="5">
        <v>0</v>
      </c>
      <c r="I106" s="8"/>
      <c r="J106" s="9">
        <v>0</v>
      </c>
    </row>
    <row r="107" spans="1:10" x14ac:dyDescent="0.25">
      <c r="A107" s="13">
        <v>22483</v>
      </c>
      <c r="B107" s="11" t="s">
        <v>100</v>
      </c>
      <c r="C107" s="11"/>
      <c r="D107" s="11">
        <v>5.0000000000000001E-3</v>
      </c>
      <c r="E107" s="11"/>
      <c r="F107" s="11"/>
      <c r="G107" s="11">
        <f>Tabla1[[#This Row],[VENTA]]+Tabla1[[#This Row],[FISICO]]-Tabla1[[#This Row],[SITEMA]]</f>
        <v>-5.0000000000000001E-3</v>
      </c>
      <c r="H107" s="5">
        <v>0</v>
      </c>
      <c r="I107" s="8">
        <v>2.5</v>
      </c>
      <c r="J107" s="9">
        <f>Tabla1[[#This Row],[COSTO]]*Tabla1[[#This Row],[DIFERENCIA]]</f>
        <v>-1.2500000000000001E-2</v>
      </c>
    </row>
    <row r="108" spans="1:10" x14ac:dyDescent="0.25">
      <c r="A108" s="13">
        <v>22494</v>
      </c>
      <c r="B108" s="11" t="s">
        <v>5</v>
      </c>
      <c r="C108" s="11"/>
      <c r="D108" s="11">
        <v>0</v>
      </c>
      <c r="E108" s="11"/>
      <c r="F108" s="11"/>
      <c r="G108" s="11">
        <f>Tabla1[[#This Row],[VENTA]]+Tabla1[[#This Row],[FISICO]]-Tabla1[[#This Row],[SITEMA]]</f>
        <v>0</v>
      </c>
      <c r="H108" s="5">
        <v>0</v>
      </c>
      <c r="I108" s="8"/>
      <c r="J108" s="9">
        <v>0</v>
      </c>
    </row>
    <row r="109" spans="1:10" x14ac:dyDescent="0.25">
      <c r="A109" s="13">
        <v>22543</v>
      </c>
      <c r="B109" s="11" t="s">
        <v>24</v>
      </c>
      <c r="C109" s="11"/>
      <c r="D109" s="11">
        <v>0</v>
      </c>
      <c r="E109" s="11"/>
      <c r="F109" s="11"/>
      <c r="G109" s="11">
        <f>Tabla1[[#This Row],[VENTA]]+Tabla1[[#This Row],[FISICO]]-Tabla1[[#This Row],[SITEMA]]</f>
        <v>0</v>
      </c>
      <c r="H109" s="5">
        <v>0</v>
      </c>
      <c r="I109" s="8"/>
      <c r="J109" s="9">
        <v>0</v>
      </c>
    </row>
    <row r="110" spans="1:10" x14ac:dyDescent="0.25">
      <c r="A110" s="13">
        <v>22870</v>
      </c>
      <c r="B110" s="11" t="s">
        <v>15</v>
      </c>
      <c r="C110" s="11"/>
      <c r="D110" s="11">
        <v>0</v>
      </c>
      <c r="E110" s="11"/>
      <c r="F110" s="11"/>
      <c r="G110" s="11">
        <f>Tabla1[[#This Row],[VENTA]]+Tabla1[[#This Row],[FISICO]]-Tabla1[[#This Row],[SITEMA]]</f>
        <v>0</v>
      </c>
      <c r="H110" s="5">
        <v>0</v>
      </c>
      <c r="I110" s="8"/>
      <c r="J110" s="9">
        <v>0</v>
      </c>
    </row>
    <row r="111" spans="1:10" x14ac:dyDescent="0.25">
      <c r="A111" s="13">
        <v>23033</v>
      </c>
      <c r="B111" s="11" t="s">
        <v>103</v>
      </c>
      <c r="C111" s="11">
        <v>26</v>
      </c>
      <c r="D111" s="11">
        <v>23</v>
      </c>
      <c r="E111" s="11">
        <v>12</v>
      </c>
      <c r="F111" s="11">
        <v>0</v>
      </c>
      <c r="G111" s="11">
        <f>Tabla1[[#This Row],[VENTA]]+Tabla1[[#This Row],[FISICO]]-Tabla1[[#This Row],[SITEMA]]</f>
        <v>-11</v>
      </c>
      <c r="H111" s="5">
        <f>Tabla1[[#This Row],[DIFERENCIA]]/Tabla1[[#This Row],[RECEPCION]]</f>
        <v>-0.42307692307692307</v>
      </c>
      <c r="I111" s="8">
        <v>0.61</v>
      </c>
      <c r="J111" s="9">
        <f>Tabla1[[#This Row],[COSTO]]*Tabla1[[#This Row],[DIFERENCIA]]</f>
        <v>-6.71</v>
      </c>
    </row>
    <row r="112" spans="1:10" x14ac:dyDescent="0.25">
      <c r="A112" s="13">
        <v>2131</v>
      </c>
      <c r="B112" s="2" t="s">
        <v>114</v>
      </c>
      <c r="C112" s="11">
        <v>1499</v>
      </c>
      <c r="D112" s="1">
        <v>1020</v>
      </c>
      <c r="E112" s="1">
        <f>761+250</f>
        <v>1011</v>
      </c>
      <c r="F112" s="11">
        <v>1</v>
      </c>
      <c r="G112" s="11">
        <f>Tabla1[[#This Row],[VENTA]]+Tabla1[[#This Row],[FISICO]]-Tabla1[[#This Row],[SITEMA]]</f>
        <v>-8</v>
      </c>
      <c r="H112" s="5">
        <f>Tabla1[[#This Row],[DIFERENCIA]]/Tabla1[[#This Row],[RECEPCION]]</f>
        <v>-5.3368912608405599E-3</v>
      </c>
      <c r="I112" s="8">
        <v>0.3</v>
      </c>
      <c r="J112" s="9">
        <f>Tabla1[[#This Row],[COSTO]]*Tabla1[[#This Row],[DIFERENCIA]]</f>
        <v>-2.4</v>
      </c>
    </row>
    <row r="113" spans="1:10" x14ac:dyDescent="0.25">
      <c r="A113" s="25"/>
      <c r="B113" s="30"/>
      <c r="C113" s="26"/>
      <c r="D113" s="30"/>
      <c r="E113" s="30"/>
      <c r="F113" s="31"/>
      <c r="G113" s="27"/>
      <c r="H113" s="28"/>
      <c r="I113" s="29" t="s">
        <v>115</v>
      </c>
      <c r="J113" s="1">
        <f>SUBTOTAL(109,J8:J112)</f>
        <v>-1278.67922</v>
      </c>
    </row>
  </sheetData>
  <pageMargins left="0.7" right="0.7" top="0.75" bottom="0.75" header="0.3" footer="0.3"/>
  <pageSetup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G10"/>
  <sheetViews>
    <sheetView workbookViewId="0">
      <selection activeCell="D16" sqref="D16"/>
    </sheetView>
  </sheetViews>
  <sheetFormatPr baseColWidth="10" defaultRowHeight="15" x14ac:dyDescent="0.25"/>
  <cols>
    <col min="2" max="2" width="25.7109375" customWidth="1"/>
    <col min="7" max="7" width="16" customWidth="1"/>
  </cols>
  <sheetData>
    <row r="4" spans="1:7" x14ac:dyDescent="0.25">
      <c r="B4" t="s">
        <v>116</v>
      </c>
    </row>
    <row r="6" spans="1:7" x14ac:dyDescent="0.25">
      <c r="A6" s="33" t="s">
        <v>105</v>
      </c>
      <c r="B6" s="34" t="s">
        <v>106</v>
      </c>
      <c r="C6" s="34" t="s">
        <v>111</v>
      </c>
      <c r="D6" s="34" t="s">
        <v>107</v>
      </c>
      <c r="E6" s="34" t="s">
        <v>108</v>
      </c>
      <c r="F6" s="34" t="s">
        <v>109</v>
      </c>
      <c r="G6" s="34" t="s">
        <v>110</v>
      </c>
    </row>
    <row r="7" spans="1:7" x14ac:dyDescent="0.25">
      <c r="A7" s="16">
        <v>85</v>
      </c>
      <c r="B7" s="17" t="s">
        <v>77</v>
      </c>
      <c r="C7" s="17">
        <v>442.8</v>
      </c>
      <c r="D7" s="17">
        <v>21.74</v>
      </c>
      <c r="E7" s="17">
        <v>20.399999999999999</v>
      </c>
      <c r="F7" s="17">
        <v>11.79</v>
      </c>
      <c r="G7" s="17">
        <v>10.45</v>
      </c>
    </row>
    <row r="8" spans="1:7" x14ac:dyDescent="0.25">
      <c r="A8" s="18">
        <v>2078</v>
      </c>
      <c r="B8" s="19" t="s">
        <v>30</v>
      </c>
      <c r="C8" s="19">
        <v>85</v>
      </c>
      <c r="D8" s="19">
        <v>8</v>
      </c>
      <c r="E8" s="19">
        <v>2</v>
      </c>
      <c r="F8" s="19">
        <v>7</v>
      </c>
      <c r="G8" s="19">
        <v>1</v>
      </c>
    </row>
    <row r="9" spans="1:7" x14ac:dyDescent="0.25">
      <c r="A9" s="16">
        <v>2104</v>
      </c>
      <c r="B9" s="17" t="s">
        <v>35</v>
      </c>
      <c r="C9" s="17"/>
      <c r="D9" s="17">
        <v>16</v>
      </c>
      <c r="E9" s="17">
        <v>13</v>
      </c>
      <c r="F9" s="17">
        <v>4</v>
      </c>
      <c r="G9" s="17">
        <v>1</v>
      </c>
    </row>
    <row r="10" spans="1:7" x14ac:dyDescent="0.25">
      <c r="A10" s="18">
        <v>19636</v>
      </c>
      <c r="B10" s="19" t="s">
        <v>17</v>
      </c>
      <c r="C10" s="19">
        <v>7</v>
      </c>
      <c r="D10" s="19">
        <v>4</v>
      </c>
      <c r="E10" s="19">
        <v>8</v>
      </c>
      <c r="F10" s="19">
        <v>0</v>
      </c>
      <c r="G10" s="19">
        <v>4</v>
      </c>
    </row>
  </sheetData>
  <autoFilter ref="A6:G6"/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J75"/>
  <sheetViews>
    <sheetView tabSelected="1" topLeftCell="A55" workbookViewId="0">
      <selection activeCell="H75" sqref="H75"/>
    </sheetView>
  </sheetViews>
  <sheetFormatPr baseColWidth="10" defaultRowHeight="15" x14ac:dyDescent="0.25"/>
  <cols>
    <col min="1" max="1" width="8.7109375" customWidth="1"/>
    <col min="2" max="2" width="30.28515625" customWidth="1"/>
  </cols>
  <sheetData>
    <row r="6" spans="1:10" x14ac:dyDescent="0.25">
      <c r="B6" t="s">
        <v>116</v>
      </c>
    </row>
    <row r="8" spans="1:10" x14ac:dyDescent="0.25">
      <c r="A8" s="33" t="s">
        <v>105</v>
      </c>
      <c r="B8" s="34" t="s">
        <v>106</v>
      </c>
      <c r="C8" s="34" t="s">
        <v>111</v>
      </c>
      <c r="D8" s="34" t="s">
        <v>107</v>
      </c>
      <c r="E8" s="34" t="s">
        <v>108</v>
      </c>
      <c r="F8" s="34" t="s">
        <v>109</v>
      </c>
      <c r="G8" s="34" t="s">
        <v>110</v>
      </c>
      <c r="H8" s="35" t="s">
        <v>0</v>
      </c>
      <c r="I8" s="36" t="s">
        <v>112</v>
      </c>
      <c r="J8" s="37" t="s">
        <v>113</v>
      </c>
    </row>
    <row r="9" spans="1:10" x14ac:dyDescent="0.25">
      <c r="A9" s="16">
        <v>1</v>
      </c>
      <c r="B9" s="17" t="s">
        <v>61</v>
      </c>
      <c r="C9" s="17">
        <v>424.8</v>
      </c>
      <c r="D9" s="17">
        <v>245.315</v>
      </c>
      <c r="E9" s="17">
        <v>194.2</v>
      </c>
      <c r="F9" s="17">
        <v>9.34</v>
      </c>
      <c r="G9" s="17">
        <f>F9+E9-D9</f>
        <v>-41.775000000000006</v>
      </c>
      <c r="H9" s="22">
        <f>G9/C9</f>
        <v>-9.8340395480225995E-2</v>
      </c>
      <c r="I9" s="20">
        <v>0.22</v>
      </c>
      <c r="J9" s="21">
        <f>I9*G9</f>
        <v>-9.1905000000000019</v>
      </c>
    </row>
    <row r="10" spans="1:10" x14ac:dyDescent="0.25">
      <c r="A10" s="16">
        <v>3</v>
      </c>
      <c r="B10" s="17" t="s">
        <v>6</v>
      </c>
      <c r="C10" s="17"/>
      <c r="D10" s="17">
        <v>3.5000000000000003E-2</v>
      </c>
      <c r="E10" s="17"/>
      <c r="F10" s="17"/>
      <c r="G10" s="17">
        <f t="shared" ref="G10:G71" si="0">F10+E10-D10</f>
        <v>-3.5000000000000003E-2</v>
      </c>
      <c r="H10" s="22">
        <v>0</v>
      </c>
      <c r="I10" s="20">
        <v>4.7</v>
      </c>
      <c r="J10" s="21">
        <f t="shared" ref="J10:J71" si="1">I10*G10</f>
        <v>-0.16450000000000004</v>
      </c>
    </row>
    <row r="11" spans="1:10" x14ac:dyDescent="0.25">
      <c r="A11" s="18">
        <v>4</v>
      </c>
      <c r="B11" s="19" t="s">
        <v>56</v>
      </c>
      <c r="C11" s="19">
        <v>87.600000000000009</v>
      </c>
      <c r="D11" s="19">
        <v>21.76</v>
      </c>
      <c r="E11" s="19">
        <v>14.6</v>
      </c>
      <c r="F11" s="19">
        <v>4.03</v>
      </c>
      <c r="G11" s="17">
        <f t="shared" si="0"/>
        <v>-3.1300000000000026</v>
      </c>
      <c r="H11" s="22">
        <f t="shared" ref="H10:H72" si="2">G11/C11</f>
        <v>-3.573059360730596E-2</v>
      </c>
      <c r="I11" s="8">
        <v>0.68</v>
      </c>
      <c r="J11" s="21">
        <f t="shared" si="1"/>
        <v>-2.1284000000000018</v>
      </c>
    </row>
    <row r="12" spans="1:10" x14ac:dyDescent="0.25">
      <c r="A12" s="16">
        <v>5</v>
      </c>
      <c r="B12" s="17" t="s">
        <v>80</v>
      </c>
      <c r="C12" s="17"/>
      <c r="D12" s="17">
        <v>0.28799999999999998</v>
      </c>
      <c r="E12" s="17"/>
      <c r="F12" s="17"/>
      <c r="G12" s="17">
        <f t="shared" si="0"/>
        <v>-0.28799999999999998</v>
      </c>
      <c r="H12" s="22">
        <v>0</v>
      </c>
      <c r="I12" s="20">
        <v>2.2000000000000002</v>
      </c>
      <c r="J12" s="21">
        <f t="shared" si="1"/>
        <v>-0.63360000000000005</v>
      </c>
    </row>
    <row r="13" spans="1:10" x14ac:dyDescent="0.25">
      <c r="A13" s="18">
        <v>6</v>
      </c>
      <c r="B13" s="19" t="s">
        <v>4</v>
      </c>
      <c r="C13" s="19"/>
      <c r="D13" s="19">
        <v>1.0449999999999999</v>
      </c>
      <c r="E13" s="19"/>
      <c r="F13" s="19"/>
      <c r="G13" s="17">
        <f t="shared" si="0"/>
        <v>-1.0449999999999999</v>
      </c>
      <c r="H13" s="22">
        <v>0</v>
      </c>
      <c r="I13" s="8">
        <v>2.5499999999999998</v>
      </c>
      <c r="J13" s="21">
        <f t="shared" si="1"/>
        <v>-2.6647499999999997</v>
      </c>
    </row>
    <row r="14" spans="1:10" x14ac:dyDescent="0.25">
      <c r="A14" s="16">
        <v>7</v>
      </c>
      <c r="B14" s="17" t="s">
        <v>51</v>
      </c>
      <c r="C14" s="17"/>
      <c r="D14" s="17">
        <v>3.91</v>
      </c>
      <c r="E14" s="17"/>
      <c r="F14" s="17"/>
      <c r="G14" s="17">
        <f t="shared" si="0"/>
        <v>-3.91</v>
      </c>
      <c r="H14" s="22">
        <v>0</v>
      </c>
      <c r="I14" s="20">
        <v>1.24</v>
      </c>
      <c r="J14" s="21">
        <f t="shared" si="1"/>
        <v>-4.8483999999999998</v>
      </c>
    </row>
    <row r="15" spans="1:10" x14ac:dyDescent="0.25">
      <c r="A15" s="18">
        <v>9</v>
      </c>
      <c r="B15" s="19" t="s">
        <v>49</v>
      </c>
      <c r="C15" s="19">
        <v>1005.6</v>
      </c>
      <c r="D15" s="19">
        <v>668.125</v>
      </c>
      <c r="E15" s="19">
        <v>590.6</v>
      </c>
      <c r="F15" s="19">
        <v>28.79</v>
      </c>
      <c r="G15" s="17">
        <f t="shared" si="0"/>
        <v>-48.735000000000014</v>
      </c>
      <c r="H15" s="22">
        <f t="shared" si="2"/>
        <v>-4.8463603818615766E-2</v>
      </c>
      <c r="I15" s="8">
        <v>1.02</v>
      </c>
      <c r="J15" s="21">
        <f t="shared" si="1"/>
        <v>-49.709700000000012</v>
      </c>
    </row>
    <row r="16" spans="1:10" x14ac:dyDescent="0.25">
      <c r="A16" s="16">
        <v>10</v>
      </c>
      <c r="B16" s="17" t="s">
        <v>50</v>
      </c>
      <c r="C16" s="17"/>
      <c r="D16" s="17">
        <v>0.85499999999999998</v>
      </c>
      <c r="E16" s="17"/>
      <c r="F16" s="17"/>
      <c r="G16" s="17">
        <f t="shared" si="0"/>
        <v>-0.85499999999999998</v>
      </c>
      <c r="H16" s="22">
        <v>0</v>
      </c>
      <c r="I16" s="20">
        <v>1.32</v>
      </c>
      <c r="J16" s="21">
        <f t="shared" si="1"/>
        <v>-1.1286</v>
      </c>
    </row>
    <row r="17" spans="1:10" x14ac:dyDescent="0.25">
      <c r="A17" s="18">
        <v>11</v>
      </c>
      <c r="B17" s="19" t="s">
        <v>28</v>
      </c>
      <c r="C17" s="19">
        <v>1234</v>
      </c>
      <c r="D17" s="19">
        <v>135.22</v>
      </c>
      <c r="E17" s="19">
        <v>130.6</v>
      </c>
      <c r="F17" s="19">
        <v>0</v>
      </c>
      <c r="G17" s="17">
        <f t="shared" si="0"/>
        <v>-4.6200000000000045</v>
      </c>
      <c r="H17" s="22">
        <f t="shared" si="2"/>
        <v>-3.743922204213942E-3</v>
      </c>
      <c r="I17" s="8">
        <v>0.98</v>
      </c>
      <c r="J17" s="21">
        <f t="shared" si="1"/>
        <v>-4.5276000000000041</v>
      </c>
    </row>
    <row r="18" spans="1:10" x14ac:dyDescent="0.25">
      <c r="A18" s="16">
        <v>12</v>
      </c>
      <c r="B18" s="17" t="s">
        <v>59</v>
      </c>
      <c r="C18" s="17">
        <v>168.2</v>
      </c>
      <c r="D18" s="17">
        <v>100.155</v>
      </c>
      <c r="E18" s="17">
        <v>77</v>
      </c>
      <c r="F18" s="17">
        <v>4.42</v>
      </c>
      <c r="G18" s="17">
        <f t="shared" si="0"/>
        <v>-18.734999999999999</v>
      </c>
      <c r="H18" s="22">
        <f t="shared" si="2"/>
        <v>-0.11138525564803806</v>
      </c>
      <c r="I18" s="20">
        <v>0.84</v>
      </c>
      <c r="J18" s="21">
        <f t="shared" si="1"/>
        <v>-15.737399999999999</v>
      </c>
    </row>
    <row r="19" spans="1:10" x14ac:dyDescent="0.25">
      <c r="A19" s="18">
        <v>13</v>
      </c>
      <c r="B19" s="19" t="s">
        <v>26</v>
      </c>
      <c r="C19" s="19">
        <v>126.80000000000001</v>
      </c>
      <c r="D19" s="19">
        <v>65.555000000000007</v>
      </c>
      <c r="E19" s="19">
        <v>41</v>
      </c>
      <c r="F19" s="19">
        <v>1.73</v>
      </c>
      <c r="G19" s="17">
        <f t="shared" si="0"/>
        <v>-22.82500000000001</v>
      </c>
      <c r="H19" s="22">
        <f t="shared" si="2"/>
        <v>-0.1800078864353313</v>
      </c>
      <c r="I19" s="8">
        <v>0.98</v>
      </c>
      <c r="J19" s="21">
        <f t="shared" si="1"/>
        <v>-22.368500000000008</v>
      </c>
    </row>
    <row r="20" spans="1:10" x14ac:dyDescent="0.25">
      <c r="A20" s="16">
        <v>14</v>
      </c>
      <c r="B20" s="17" t="s">
        <v>72</v>
      </c>
      <c r="C20" s="17">
        <v>50</v>
      </c>
      <c r="D20" s="17">
        <v>14.06</v>
      </c>
      <c r="E20" s="17">
        <v>2</v>
      </c>
      <c r="F20" s="17">
        <v>2.02</v>
      </c>
      <c r="G20" s="17">
        <f t="shared" si="0"/>
        <v>-10.040000000000001</v>
      </c>
      <c r="H20" s="22">
        <f t="shared" si="2"/>
        <v>-0.20080000000000001</v>
      </c>
      <c r="I20" s="20">
        <v>0.9</v>
      </c>
      <c r="J20" s="21">
        <f t="shared" si="1"/>
        <v>-9.0360000000000014</v>
      </c>
    </row>
    <row r="21" spans="1:10" x14ac:dyDescent="0.25">
      <c r="A21" s="18">
        <v>15</v>
      </c>
      <c r="B21" s="19" t="s">
        <v>73</v>
      </c>
      <c r="C21" s="19">
        <v>97.6</v>
      </c>
      <c r="D21" s="19">
        <v>57.81</v>
      </c>
      <c r="E21" s="19">
        <v>43.8</v>
      </c>
      <c r="F21" s="19">
        <v>0.47</v>
      </c>
      <c r="G21" s="17">
        <f t="shared" si="0"/>
        <v>-13.540000000000006</v>
      </c>
      <c r="H21" s="22">
        <f t="shared" si="2"/>
        <v>-0.13872950819672139</v>
      </c>
      <c r="I21" s="8">
        <v>0.68</v>
      </c>
      <c r="J21" s="21">
        <f t="shared" si="1"/>
        <v>-9.2072000000000056</v>
      </c>
    </row>
    <row r="22" spans="1:10" x14ac:dyDescent="0.25">
      <c r="A22" s="16">
        <v>16</v>
      </c>
      <c r="B22" s="17" t="s">
        <v>89</v>
      </c>
      <c r="C22" s="17">
        <v>445</v>
      </c>
      <c r="D22" s="17">
        <v>210.55500000000001</v>
      </c>
      <c r="E22" s="17">
        <v>103</v>
      </c>
      <c r="F22" s="17">
        <v>14.29</v>
      </c>
      <c r="G22" s="17">
        <f t="shared" si="0"/>
        <v>-93.265000000000015</v>
      </c>
      <c r="H22" s="22">
        <f t="shared" si="2"/>
        <v>-0.20958426966292137</v>
      </c>
      <c r="I22" s="20">
        <v>0.55000000000000004</v>
      </c>
      <c r="J22" s="21">
        <f t="shared" si="1"/>
        <v>-51.295750000000012</v>
      </c>
    </row>
    <row r="23" spans="1:10" x14ac:dyDescent="0.25">
      <c r="A23" s="18">
        <v>17</v>
      </c>
      <c r="B23" s="19" t="s">
        <v>86</v>
      </c>
      <c r="C23" s="19">
        <v>307.88600000000002</v>
      </c>
      <c r="D23" s="19">
        <v>39.405999999999999</v>
      </c>
      <c r="E23" s="19">
        <v>2.2000000000000002</v>
      </c>
      <c r="F23" s="19">
        <v>0.51</v>
      </c>
      <c r="G23" s="17">
        <f t="shared" si="0"/>
        <v>-36.695999999999998</v>
      </c>
      <c r="H23" s="22">
        <f t="shared" si="2"/>
        <v>-0.1191869718012511</v>
      </c>
      <c r="I23" s="8">
        <v>1.47</v>
      </c>
      <c r="J23" s="21">
        <f t="shared" si="1"/>
        <v>-53.943119999999993</v>
      </c>
    </row>
    <row r="24" spans="1:10" x14ac:dyDescent="0.25">
      <c r="A24" s="16">
        <v>18</v>
      </c>
      <c r="B24" s="17" t="s">
        <v>42</v>
      </c>
      <c r="C24" s="17">
        <v>297.39999999999998</v>
      </c>
      <c r="D24" s="17">
        <v>35.520000000000003</v>
      </c>
      <c r="E24" s="17">
        <v>24.2</v>
      </c>
      <c r="F24" s="17">
        <v>0</v>
      </c>
      <c r="G24" s="17">
        <f t="shared" si="0"/>
        <v>-11.320000000000004</v>
      </c>
      <c r="H24" s="22">
        <f t="shared" si="2"/>
        <v>-3.8063214525891072E-2</v>
      </c>
      <c r="I24" s="20">
        <v>2.35</v>
      </c>
      <c r="J24" s="21">
        <f t="shared" si="1"/>
        <v>-26.602000000000011</v>
      </c>
    </row>
    <row r="25" spans="1:10" x14ac:dyDescent="0.25">
      <c r="A25" s="18">
        <v>19</v>
      </c>
      <c r="B25" s="19" t="s">
        <v>117</v>
      </c>
      <c r="C25" s="19">
        <f>1233.8+0.95</f>
        <v>1234.75</v>
      </c>
      <c r="D25" s="19">
        <v>337.27499999999998</v>
      </c>
      <c r="E25" s="19">
        <v>286</v>
      </c>
      <c r="F25" s="19">
        <v>13.1</v>
      </c>
      <c r="G25" s="17">
        <f t="shared" si="0"/>
        <v>-38.174999999999955</v>
      </c>
      <c r="H25" s="22">
        <f t="shared" si="2"/>
        <v>-3.0917189714517072E-2</v>
      </c>
      <c r="I25" s="8">
        <v>0.73</v>
      </c>
      <c r="J25" s="21">
        <f t="shared" si="1"/>
        <v>-27.867749999999965</v>
      </c>
    </row>
    <row r="26" spans="1:10" x14ac:dyDescent="0.25">
      <c r="A26" s="16">
        <v>20</v>
      </c>
      <c r="B26" s="17" t="s">
        <v>1</v>
      </c>
      <c r="C26" s="17"/>
      <c r="D26" s="17">
        <v>0.215</v>
      </c>
      <c r="E26" s="17"/>
      <c r="F26" s="17"/>
      <c r="G26" s="17">
        <f t="shared" si="0"/>
        <v>-0.215</v>
      </c>
      <c r="H26" s="22">
        <v>0</v>
      </c>
      <c r="I26" s="20">
        <v>3.33</v>
      </c>
      <c r="J26" s="21">
        <f t="shared" si="1"/>
        <v>-0.71594999999999998</v>
      </c>
    </row>
    <row r="27" spans="1:10" x14ac:dyDescent="0.25">
      <c r="A27" s="18">
        <v>23</v>
      </c>
      <c r="B27" s="19" t="s">
        <v>53</v>
      </c>
      <c r="C27" s="19">
        <v>58.4</v>
      </c>
      <c r="D27" s="19">
        <v>10.41</v>
      </c>
      <c r="E27" s="19">
        <v>4.2</v>
      </c>
      <c r="F27" s="19">
        <v>0</v>
      </c>
      <c r="G27" s="17">
        <f t="shared" si="0"/>
        <v>-6.21</v>
      </c>
      <c r="H27" s="22">
        <f t="shared" si="2"/>
        <v>-0.10633561643835616</v>
      </c>
      <c r="I27" s="8">
        <v>0.42</v>
      </c>
      <c r="J27" s="21">
        <f t="shared" si="1"/>
        <v>-2.6082000000000001</v>
      </c>
    </row>
    <row r="28" spans="1:10" x14ac:dyDescent="0.25">
      <c r="A28" s="16">
        <v>24</v>
      </c>
      <c r="B28" s="17" t="s">
        <v>88</v>
      </c>
      <c r="C28" s="17"/>
      <c r="D28" s="17">
        <v>18.149999999999999</v>
      </c>
      <c r="E28" s="17"/>
      <c r="F28" s="17"/>
      <c r="G28" s="17">
        <f t="shared" si="0"/>
        <v>-18.149999999999999</v>
      </c>
      <c r="H28" s="22">
        <v>0</v>
      </c>
      <c r="I28" s="20">
        <v>0.78</v>
      </c>
      <c r="J28" s="21">
        <f t="shared" si="1"/>
        <v>-14.157</v>
      </c>
    </row>
    <row r="29" spans="1:10" x14ac:dyDescent="0.25">
      <c r="A29" s="18">
        <v>26</v>
      </c>
      <c r="B29" s="19" t="s">
        <v>55</v>
      </c>
      <c r="C29" s="19">
        <v>493.9</v>
      </c>
      <c r="D29" s="19">
        <f>573.55-298.7</f>
        <v>274.84999999999997</v>
      </c>
      <c r="E29" s="19">
        <v>189.4</v>
      </c>
      <c r="F29" s="19">
        <v>52.72</v>
      </c>
      <c r="G29" s="17">
        <f t="shared" si="0"/>
        <v>-32.729999999999961</v>
      </c>
      <c r="H29" s="22">
        <f t="shared" si="2"/>
        <v>-6.6268475399878443E-2</v>
      </c>
      <c r="I29" s="8">
        <v>0.7</v>
      </c>
      <c r="J29" s="21">
        <f t="shared" si="1"/>
        <v>-22.910999999999973</v>
      </c>
    </row>
    <row r="30" spans="1:10" x14ac:dyDescent="0.25">
      <c r="A30" s="16">
        <v>28</v>
      </c>
      <c r="B30" s="17" t="s">
        <v>54</v>
      </c>
      <c r="C30" s="17">
        <v>84.4</v>
      </c>
      <c r="D30" s="17">
        <v>21.495000000000001</v>
      </c>
      <c r="E30" s="17">
        <v>12.6</v>
      </c>
      <c r="F30" s="17">
        <v>2.44</v>
      </c>
      <c r="G30" s="17">
        <f t="shared" si="0"/>
        <v>-6.4550000000000018</v>
      </c>
      <c r="H30" s="22">
        <f t="shared" si="2"/>
        <v>-7.6481042654028455E-2</v>
      </c>
      <c r="I30" s="20">
        <v>1.44</v>
      </c>
      <c r="J30" s="21">
        <f t="shared" si="1"/>
        <v>-9.295200000000003</v>
      </c>
    </row>
    <row r="31" spans="1:10" x14ac:dyDescent="0.25">
      <c r="A31" s="18">
        <v>31</v>
      </c>
      <c r="B31" s="19" t="s">
        <v>47</v>
      </c>
      <c r="C31" s="19">
        <v>139.19999999999999</v>
      </c>
      <c r="D31" s="19">
        <v>49.895000000000003</v>
      </c>
      <c r="E31" s="19">
        <v>12.4</v>
      </c>
      <c r="F31" s="19">
        <v>6.9</v>
      </c>
      <c r="G31" s="17">
        <f t="shared" si="0"/>
        <v>-30.595000000000002</v>
      </c>
      <c r="H31" s="22">
        <f t="shared" si="2"/>
        <v>-0.21979166666666669</v>
      </c>
      <c r="I31" s="8">
        <v>0.85</v>
      </c>
      <c r="J31" s="21">
        <f t="shared" si="1"/>
        <v>-26.005750000000003</v>
      </c>
    </row>
    <row r="32" spans="1:10" x14ac:dyDescent="0.25">
      <c r="A32" s="16">
        <v>32</v>
      </c>
      <c r="B32" s="17" t="s">
        <v>48</v>
      </c>
      <c r="C32" s="17">
        <v>51.4</v>
      </c>
      <c r="D32" s="17">
        <v>35.655000000000001</v>
      </c>
      <c r="E32" s="17">
        <v>31.4</v>
      </c>
      <c r="F32" s="17">
        <v>1.42</v>
      </c>
      <c r="G32" s="17">
        <f t="shared" si="0"/>
        <v>-2.8350000000000009</v>
      </c>
      <c r="H32" s="22">
        <f t="shared" si="2"/>
        <v>-5.5155642023346323E-2</v>
      </c>
      <c r="I32" s="20">
        <v>1.08</v>
      </c>
      <c r="J32" s="21">
        <f t="shared" si="1"/>
        <v>-3.0618000000000012</v>
      </c>
    </row>
    <row r="33" spans="1:10" x14ac:dyDescent="0.25">
      <c r="A33" s="18">
        <v>33</v>
      </c>
      <c r="B33" s="19" t="s">
        <v>90</v>
      </c>
      <c r="C33" s="19">
        <v>13.6</v>
      </c>
      <c r="D33" s="19">
        <v>4.0999999999999996</v>
      </c>
      <c r="E33" s="19">
        <v>1.8</v>
      </c>
      <c r="F33" s="19">
        <v>0</v>
      </c>
      <c r="G33" s="17">
        <f t="shared" si="0"/>
        <v>-2.2999999999999998</v>
      </c>
      <c r="H33" s="22">
        <f t="shared" si="2"/>
        <v>-0.16911764705882351</v>
      </c>
      <c r="I33" s="8">
        <v>2.2000000000000002</v>
      </c>
      <c r="J33" s="21">
        <f t="shared" si="1"/>
        <v>-5.0599999999999996</v>
      </c>
    </row>
    <row r="34" spans="1:10" x14ac:dyDescent="0.25">
      <c r="A34" s="16">
        <v>38</v>
      </c>
      <c r="B34" s="17" t="s">
        <v>97</v>
      </c>
      <c r="C34" s="17"/>
      <c r="D34" s="17">
        <v>5.0000000000000001E-3</v>
      </c>
      <c r="E34" s="17"/>
      <c r="F34" s="17"/>
      <c r="G34" s="17">
        <f t="shared" si="0"/>
        <v>-5.0000000000000001E-3</v>
      </c>
      <c r="H34" s="22">
        <v>0</v>
      </c>
      <c r="I34" s="20">
        <v>1.21</v>
      </c>
      <c r="J34" s="21">
        <f t="shared" si="1"/>
        <v>-6.0499999999999998E-3</v>
      </c>
    </row>
    <row r="35" spans="1:10" x14ac:dyDescent="0.25">
      <c r="A35" s="18">
        <v>39</v>
      </c>
      <c r="B35" s="19" t="s">
        <v>74</v>
      </c>
      <c r="C35" s="19"/>
      <c r="D35" s="19">
        <v>8.8000000000000007</v>
      </c>
      <c r="E35" s="19"/>
      <c r="F35" s="19"/>
      <c r="G35" s="17">
        <f t="shared" si="0"/>
        <v>-8.8000000000000007</v>
      </c>
      <c r="H35" s="22">
        <v>0</v>
      </c>
      <c r="I35" s="8">
        <v>0.99</v>
      </c>
      <c r="J35" s="21">
        <f t="shared" si="1"/>
        <v>-8.7119999999999997</v>
      </c>
    </row>
    <row r="36" spans="1:10" x14ac:dyDescent="0.25">
      <c r="A36" s="16">
        <v>40</v>
      </c>
      <c r="B36" s="17" t="s">
        <v>45</v>
      </c>
      <c r="C36" s="17"/>
      <c r="D36" s="17">
        <v>5.8049999999999997</v>
      </c>
      <c r="E36" s="17"/>
      <c r="F36" s="17"/>
      <c r="G36" s="17">
        <f t="shared" si="0"/>
        <v>-5.8049999999999997</v>
      </c>
      <c r="H36" s="22">
        <v>0</v>
      </c>
      <c r="I36" s="20">
        <v>0.84</v>
      </c>
      <c r="J36" s="21">
        <f t="shared" si="1"/>
        <v>-4.8761999999999999</v>
      </c>
    </row>
    <row r="37" spans="1:10" x14ac:dyDescent="0.25">
      <c r="A37" s="18">
        <v>44</v>
      </c>
      <c r="B37" s="19" t="s">
        <v>40</v>
      </c>
      <c r="C37" s="19">
        <v>358.20000000000005</v>
      </c>
      <c r="D37" s="19">
        <v>33.67</v>
      </c>
      <c r="E37" s="19">
        <v>11.2</v>
      </c>
      <c r="F37" s="19">
        <v>8.42</v>
      </c>
      <c r="G37" s="17">
        <f t="shared" si="0"/>
        <v>-14.050000000000004</v>
      </c>
      <c r="H37" s="22">
        <f t="shared" si="2"/>
        <v>-3.9223897264098279E-2</v>
      </c>
      <c r="I37" s="8">
        <v>0.4</v>
      </c>
      <c r="J37" s="21">
        <f t="shared" si="1"/>
        <v>-5.6200000000000019</v>
      </c>
    </row>
    <row r="38" spans="1:10" x14ac:dyDescent="0.25">
      <c r="A38" s="16">
        <v>45</v>
      </c>
      <c r="B38" s="17" t="s">
        <v>41</v>
      </c>
      <c r="C38" s="17">
        <v>219.39999999999998</v>
      </c>
      <c r="D38" s="17">
        <v>254.3</v>
      </c>
      <c r="E38" s="17">
        <v>216.4</v>
      </c>
      <c r="F38" s="17">
        <v>4.55</v>
      </c>
      <c r="G38" s="17">
        <f t="shared" si="0"/>
        <v>-33.349999999999994</v>
      </c>
      <c r="H38" s="22">
        <f t="shared" si="2"/>
        <v>-0.15200546946216956</v>
      </c>
      <c r="I38" s="20">
        <v>0.48</v>
      </c>
      <c r="J38" s="21">
        <f t="shared" si="1"/>
        <v>-16.007999999999996</v>
      </c>
    </row>
    <row r="39" spans="1:10" x14ac:dyDescent="0.25">
      <c r="A39" s="18">
        <v>46</v>
      </c>
      <c r="B39" s="19" t="s">
        <v>87</v>
      </c>
      <c r="C39" s="19">
        <v>32.200000000000003</v>
      </c>
      <c r="D39" s="19">
        <v>2.85</v>
      </c>
      <c r="E39" s="19">
        <v>0.68</v>
      </c>
      <c r="F39" s="19">
        <v>0.71</v>
      </c>
      <c r="G39" s="17">
        <f t="shared" si="0"/>
        <v>-1.46</v>
      </c>
      <c r="H39" s="22">
        <f t="shared" si="2"/>
        <v>-4.5341614906832292E-2</v>
      </c>
      <c r="I39" s="8">
        <v>0.74</v>
      </c>
      <c r="J39" s="21">
        <f t="shared" si="1"/>
        <v>-1.0804</v>
      </c>
    </row>
    <row r="40" spans="1:10" x14ac:dyDescent="0.25">
      <c r="A40" s="16">
        <v>48</v>
      </c>
      <c r="B40" s="17" t="s">
        <v>81</v>
      </c>
      <c r="C40" s="17">
        <v>1.29</v>
      </c>
      <c r="D40" s="17">
        <v>3.645</v>
      </c>
      <c r="E40" s="17">
        <v>1.7</v>
      </c>
      <c r="F40" s="17">
        <v>0.47</v>
      </c>
      <c r="G40" s="17">
        <f t="shared" si="0"/>
        <v>-1.4750000000000001</v>
      </c>
      <c r="H40" s="22">
        <f t="shared" si="2"/>
        <v>-1.1434108527131783</v>
      </c>
      <c r="I40" s="20">
        <v>1.92</v>
      </c>
      <c r="J40" s="21">
        <f t="shared" si="1"/>
        <v>-2.8319999999999999</v>
      </c>
    </row>
    <row r="41" spans="1:10" x14ac:dyDescent="0.25">
      <c r="A41" s="18">
        <v>49</v>
      </c>
      <c r="B41" s="19" t="s">
        <v>43</v>
      </c>
      <c r="C41" s="19">
        <v>83.2</v>
      </c>
      <c r="D41" s="19">
        <v>34.284999999999997</v>
      </c>
      <c r="E41" s="19">
        <v>28</v>
      </c>
      <c r="F41" s="19">
        <v>0.75</v>
      </c>
      <c r="G41" s="17">
        <f t="shared" si="0"/>
        <v>-5.5349999999999966</v>
      </c>
      <c r="H41" s="22">
        <f t="shared" si="2"/>
        <v>-6.6526442307692266E-2</v>
      </c>
      <c r="I41" s="8">
        <v>1.85</v>
      </c>
      <c r="J41" s="21">
        <f t="shared" si="1"/>
        <v>-10.239749999999994</v>
      </c>
    </row>
    <row r="42" spans="1:10" x14ac:dyDescent="0.25">
      <c r="A42" s="16">
        <v>50</v>
      </c>
      <c r="B42" s="17" t="s">
        <v>76</v>
      </c>
      <c r="C42" s="17"/>
      <c r="D42" s="17">
        <v>6.9450000000000003</v>
      </c>
      <c r="E42" s="17"/>
      <c r="F42" s="17"/>
      <c r="G42" s="17">
        <f t="shared" si="0"/>
        <v>-6.9450000000000003</v>
      </c>
      <c r="H42" s="22">
        <v>0</v>
      </c>
      <c r="I42" s="20">
        <v>0.3</v>
      </c>
      <c r="J42" s="21">
        <f t="shared" si="1"/>
        <v>-2.0834999999999999</v>
      </c>
    </row>
    <row r="43" spans="1:10" x14ac:dyDescent="0.25">
      <c r="A43" s="18">
        <v>51</v>
      </c>
      <c r="B43" s="19" t="s">
        <v>39</v>
      </c>
      <c r="C43" s="19">
        <v>307.2</v>
      </c>
      <c r="D43" s="19">
        <v>61.11</v>
      </c>
      <c r="E43" s="19">
        <v>48.4</v>
      </c>
      <c r="F43" s="19">
        <v>0</v>
      </c>
      <c r="G43" s="17">
        <f t="shared" si="0"/>
        <v>-12.71</v>
      </c>
      <c r="H43" s="22">
        <f t="shared" si="2"/>
        <v>-4.1373697916666674E-2</v>
      </c>
      <c r="I43" s="8">
        <v>0.45</v>
      </c>
      <c r="J43" s="21">
        <f t="shared" si="1"/>
        <v>-5.7195000000000009</v>
      </c>
    </row>
    <row r="44" spans="1:10" x14ac:dyDescent="0.25">
      <c r="A44" s="16">
        <v>55</v>
      </c>
      <c r="B44" s="17" t="s">
        <v>25</v>
      </c>
      <c r="C44" s="17">
        <v>192.6</v>
      </c>
      <c r="D44" s="17">
        <v>87.625</v>
      </c>
      <c r="E44" s="17">
        <v>62.2</v>
      </c>
      <c r="F44" s="17">
        <v>0</v>
      </c>
      <c r="G44" s="17">
        <f t="shared" si="0"/>
        <v>-25.424999999999997</v>
      </c>
      <c r="H44" s="22">
        <f t="shared" si="2"/>
        <v>-0.13200934579439252</v>
      </c>
      <c r="I44" s="20">
        <v>1</v>
      </c>
      <c r="J44" s="21">
        <f t="shared" si="1"/>
        <v>-25.424999999999997</v>
      </c>
    </row>
    <row r="45" spans="1:10" x14ac:dyDescent="0.25">
      <c r="A45" s="18">
        <v>57</v>
      </c>
      <c r="B45" s="19" t="s">
        <v>8</v>
      </c>
      <c r="C45" s="19">
        <v>32.6</v>
      </c>
      <c r="D45" s="19">
        <v>23.984999999999999</v>
      </c>
      <c r="E45" s="19">
        <v>2.4</v>
      </c>
      <c r="F45" s="19">
        <v>0</v>
      </c>
      <c r="G45" s="17">
        <f t="shared" si="0"/>
        <v>-21.585000000000001</v>
      </c>
      <c r="H45" s="22">
        <f t="shared" si="2"/>
        <v>-0.66211656441717792</v>
      </c>
      <c r="I45" s="8">
        <v>0.76</v>
      </c>
      <c r="J45" s="21">
        <f t="shared" si="1"/>
        <v>-16.404600000000002</v>
      </c>
    </row>
    <row r="46" spans="1:10" x14ac:dyDescent="0.25">
      <c r="A46" s="16">
        <v>58</v>
      </c>
      <c r="B46" s="17" t="s">
        <v>75</v>
      </c>
      <c r="C46" s="17">
        <v>132.6</v>
      </c>
      <c r="D46" s="17">
        <v>109.715</v>
      </c>
      <c r="E46" s="17">
        <v>80</v>
      </c>
      <c r="F46" s="17">
        <v>3.47</v>
      </c>
      <c r="G46" s="17">
        <f t="shared" si="0"/>
        <v>-26.245000000000005</v>
      </c>
      <c r="H46" s="22">
        <f t="shared" si="2"/>
        <v>-0.19792609351432885</v>
      </c>
      <c r="I46" s="20">
        <v>0.68</v>
      </c>
      <c r="J46" s="21">
        <f t="shared" si="1"/>
        <v>-17.846600000000006</v>
      </c>
    </row>
    <row r="47" spans="1:10" x14ac:dyDescent="0.25">
      <c r="A47" s="16">
        <v>60</v>
      </c>
      <c r="B47" s="17" t="s">
        <v>85</v>
      </c>
      <c r="C47" s="17">
        <v>173.2</v>
      </c>
      <c r="D47" s="17">
        <v>56.67</v>
      </c>
      <c r="E47" s="17">
        <v>22.8</v>
      </c>
      <c r="F47" s="17">
        <v>11.67</v>
      </c>
      <c r="G47" s="17">
        <f t="shared" si="0"/>
        <v>-22.200000000000003</v>
      </c>
      <c r="H47" s="22">
        <f t="shared" si="2"/>
        <v>-0.12817551963048501</v>
      </c>
      <c r="I47" s="20">
        <v>1.35</v>
      </c>
      <c r="J47" s="21">
        <f t="shared" si="1"/>
        <v>-29.970000000000006</v>
      </c>
    </row>
    <row r="48" spans="1:10" x14ac:dyDescent="0.25">
      <c r="A48" s="18">
        <v>61</v>
      </c>
      <c r="B48" s="19" t="s">
        <v>83</v>
      </c>
      <c r="C48" s="19">
        <v>297.8</v>
      </c>
      <c r="D48" s="19">
        <v>79.375</v>
      </c>
      <c r="E48" s="19">
        <v>43.4</v>
      </c>
      <c r="F48" s="19">
        <v>5.98</v>
      </c>
      <c r="G48" s="17">
        <f t="shared" si="0"/>
        <v>-29.995000000000005</v>
      </c>
      <c r="H48" s="22">
        <f t="shared" si="2"/>
        <v>-0.10072196104768302</v>
      </c>
      <c r="I48" s="8">
        <v>0.39</v>
      </c>
      <c r="J48" s="21">
        <f t="shared" si="1"/>
        <v>-11.698050000000002</v>
      </c>
    </row>
    <row r="49" spans="1:10" x14ac:dyDescent="0.25">
      <c r="A49" s="16">
        <v>63</v>
      </c>
      <c r="B49" s="17" t="s">
        <v>84</v>
      </c>
      <c r="C49" s="17"/>
      <c r="D49" s="17">
        <v>3.4249999999999998</v>
      </c>
      <c r="E49" s="17"/>
      <c r="F49" s="17"/>
      <c r="G49" s="17">
        <f t="shared" si="0"/>
        <v>-3.4249999999999998</v>
      </c>
      <c r="H49" s="22">
        <v>0</v>
      </c>
      <c r="I49" s="20">
        <v>0.46</v>
      </c>
      <c r="J49" s="21">
        <f t="shared" si="1"/>
        <v>-1.5754999999999999</v>
      </c>
    </row>
    <row r="50" spans="1:10" x14ac:dyDescent="0.25">
      <c r="A50" s="18">
        <v>64</v>
      </c>
      <c r="B50" s="19" t="s">
        <v>29</v>
      </c>
      <c r="C50" s="19"/>
      <c r="D50" s="19">
        <v>2.2450000000000001</v>
      </c>
      <c r="E50" s="19"/>
      <c r="F50" s="19"/>
      <c r="G50" s="17">
        <f t="shared" si="0"/>
        <v>-2.2450000000000001</v>
      </c>
      <c r="H50" s="22">
        <v>0</v>
      </c>
      <c r="I50" s="8">
        <v>1.81</v>
      </c>
      <c r="J50" s="21">
        <f t="shared" si="1"/>
        <v>-4.0634500000000005</v>
      </c>
    </row>
    <row r="51" spans="1:10" x14ac:dyDescent="0.25">
      <c r="A51" s="16">
        <v>65</v>
      </c>
      <c r="B51" s="17" t="s">
        <v>2</v>
      </c>
      <c r="C51" s="17"/>
      <c r="D51" s="17">
        <v>0.12</v>
      </c>
      <c r="E51" s="17"/>
      <c r="F51" s="17"/>
      <c r="G51" s="17">
        <f t="shared" si="0"/>
        <v>-0.12</v>
      </c>
      <c r="H51" s="22">
        <v>0</v>
      </c>
      <c r="I51" s="20">
        <v>1.88</v>
      </c>
      <c r="J51" s="21">
        <f t="shared" si="1"/>
        <v>-0.22559999999999997</v>
      </c>
    </row>
    <row r="52" spans="1:10" x14ac:dyDescent="0.25">
      <c r="A52" s="18">
        <v>67</v>
      </c>
      <c r="B52" s="19" t="s">
        <v>82</v>
      </c>
      <c r="C52" s="19">
        <v>196.2</v>
      </c>
      <c r="D52" s="19">
        <v>33.405000000000001</v>
      </c>
      <c r="E52" s="19">
        <v>1.8</v>
      </c>
      <c r="F52" s="19">
        <v>3.86</v>
      </c>
      <c r="G52" s="17">
        <f t="shared" si="0"/>
        <v>-27.745000000000001</v>
      </c>
      <c r="H52" s="22">
        <f t="shared" si="2"/>
        <v>-0.14141182466870542</v>
      </c>
      <c r="I52" s="8">
        <v>1.52</v>
      </c>
      <c r="J52" s="21">
        <f t="shared" si="1"/>
        <v>-42.172400000000003</v>
      </c>
    </row>
    <row r="53" spans="1:10" x14ac:dyDescent="0.25">
      <c r="A53" s="16">
        <v>70</v>
      </c>
      <c r="B53" s="17" t="s">
        <v>78</v>
      </c>
      <c r="C53" s="17">
        <v>46.800000000000004</v>
      </c>
      <c r="D53" s="17">
        <v>19.39</v>
      </c>
      <c r="E53" s="17">
        <v>5.0999999999999996</v>
      </c>
      <c r="F53" s="17">
        <v>0.53</v>
      </c>
      <c r="G53" s="17">
        <f t="shared" si="0"/>
        <v>-13.760000000000002</v>
      </c>
      <c r="H53" s="22">
        <f t="shared" si="2"/>
        <v>-0.29401709401709403</v>
      </c>
      <c r="I53" s="20">
        <v>0.63</v>
      </c>
      <c r="J53" s="21">
        <f t="shared" si="1"/>
        <v>-8.6688000000000009</v>
      </c>
    </row>
    <row r="54" spans="1:10" x14ac:dyDescent="0.25">
      <c r="A54" s="18">
        <v>71</v>
      </c>
      <c r="B54" s="19" t="s">
        <v>33</v>
      </c>
      <c r="C54" s="19">
        <v>596.79999999999995</v>
      </c>
      <c r="D54" s="19">
        <v>85.834999999999994</v>
      </c>
      <c r="E54" s="19">
        <v>1.69</v>
      </c>
      <c r="F54" s="19">
        <v>5.27</v>
      </c>
      <c r="G54" s="17">
        <f t="shared" si="0"/>
        <v>-78.875</v>
      </c>
      <c r="H54" s="22">
        <f t="shared" si="2"/>
        <v>-0.13216320375335122</v>
      </c>
      <c r="I54" s="8">
        <v>0.62</v>
      </c>
      <c r="J54" s="21">
        <f t="shared" si="1"/>
        <v>-48.902499999999996</v>
      </c>
    </row>
    <row r="55" spans="1:10" x14ac:dyDescent="0.25">
      <c r="A55" s="16">
        <v>72</v>
      </c>
      <c r="B55" s="17" t="s">
        <v>34</v>
      </c>
      <c r="C55" s="17">
        <v>23.2</v>
      </c>
      <c r="D55" s="17">
        <v>9.1649999999999991</v>
      </c>
      <c r="E55" s="17">
        <v>5</v>
      </c>
      <c r="F55" s="17">
        <v>0</v>
      </c>
      <c r="G55" s="17">
        <f t="shared" si="0"/>
        <v>-4.1649999999999991</v>
      </c>
      <c r="H55" s="22">
        <f t="shared" si="2"/>
        <v>-0.17952586206896548</v>
      </c>
      <c r="I55" s="20">
        <v>1.72</v>
      </c>
      <c r="J55" s="21">
        <f t="shared" si="1"/>
        <v>-7.1637999999999984</v>
      </c>
    </row>
    <row r="56" spans="1:10" x14ac:dyDescent="0.25">
      <c r="A56" s="18">
        <v>78</v>
      </c>
      <c r="B56" s="19" t="s">
        <v>36</v>
      </c>
      <c r="C56" s="19"/>
      <c r="D56" s="19">
        <v>11.93</v>
      </c>
      <c r="E56" s="19"/>
      <c r="F56" s="19"/>
      <c r="G56" s="17">
        <f t="shared" si="0"/>
        <v>-11.93</v>
      </c>
      <c r="H56" s="22">
        <v>0</v>
      </c>
      <c r="I56" s="8">
        <v>1.44</v>
      </c>
      <c r="J56" s="21">
        <f t="shared" si="1"/>
        <v>-17.179199999999998</v>
      </c>
    </row>
    <row r="57" spans="1:10" x14ac:dyDescent="0.25">
      <c r="A57" s="16">
        <v>83</v>
      </c>
      <c r="B57" s="17" t="s">
        <v>37</v>
      </c>
      <c r="C57" s="17">
        <v>20.2</v>
      </c>
      <c r="D57" s="17">
        <v>12.13</v>
      </c>
      <c r="E57" s="17">
        <v>11.4</v>
      </c>
      <c r="F57" s="17">
        <v>0.62</v>
      </c>
      <c r="G57" s="17">
        <f t="shared" si="0"/>
        <v>-0.11000000000000121</v>
      </c>
      <c r="H57" s="22">
        <f t="shared" si="2"/>
        <v>-5.4455445544555059E-3</v>
      </c>
      <c r="I57" s="20">
        <v>1.48</v>
      </c>
      <c r="J57" s="21">
        <f t="shared" si="1"/>
        <v>-0.16280000000000178</v>
      </c>
    </row>
    <row r="58" spans="1:10" x14ac:dyDescent="0.25">
      <c r="A58" s="18">
        <v>87</v>
      </c>
      <c r="B58" s="19" t="s">
        <v>3</v>
      </c>
      <c r="C58" s="19"/>
      <c r="D58" s="19">
        <v>0.73</v>
      </c>
      <c r="E58" s="19"/>
      <c r="F58" s="19"/>
      <c r="G58" s="17">
        <f t="shared" si="0"/>
        <v>-0.73</v>
      </c>
      <c r="H58" s="22">
        <v>0</v>
      </c>
      <c r="I58" s="8">
        <v>2</v>
      </c>
      <c r="J58" s="21">
        <f t="shared" si="1"/>
        <v>-1.46</v>
      </c>
    </row>
    <row r="59" spans="1:10" x14ac:dyDescent="0.25">
      <c r="A59" s="16">
        <v>1775</v>
      </c>
      <c r="B59" s="17" t="s">
        <v>7</v>
      </c>
      <c r="C59" s="17"/>
      <c r="D59" s="17">
        <v>0.48</v>
      </c>
      <c r="E59" s="17"/>
      <c r="F59" s="17"/>
      <c r="G59" s="17">
        <f t="shared" si="0"/>
        <v>-0.48</v>
      </c>
      <c r="H59" s="22">
        <v>0</v>
      </c>
      <c r="I59" s="20">
        <v>0.65</v>
      </c>
      <c r="J59" s="21">
        <f t="shared" si="1"/>
        <v>-0.312</v>
      </c>
    </row>
    <row r="60" spans="1:10" x14ac:dyDescent="0.25">
      <c r="A60" s="18">
        <v>2079</v>
      </c>
      <c r="B60" s="19" t="s">
        <v>38</v>
      </c>
      <c r="C60" s="19">
        <v>95.6</v>
      </c>
      <c r="D60" s="19">
        <v>37.29</v>
      </c>
      <c r="E60" s="19">
        <f>25+3.64</f>
        <v>28.64</v>
      </c>
      <c r="F60" s="19">
        <v>1.95</v>
      </c>
      <c r="G60" s="17">
        <f t="shared" si="0"/>
        <v>-6.6999999999999993</v>
      </c>
      <c r="H60" s="22">
        <f t="shared" si="2"/>
        <v>-7.0083682008368203E-2</v>
      </c>
      <c r="I60" s="8">
        <v>2.85</v>
      </c>
      <c r="J60" s="21">
        <f t="shared" si="1"/>
        <v>-19.094999999999999</v>
      </c>
    </row>
    <row r="61" spans="1:10" x14ac:dyDescent="0.25">
      <c r="A61" s="16">
        <v>2105</v>
      </c>
      <c r="B61" s="17" t="s">
        <v>52</v>
      </c>
      <c r="C61" s="17"/>
      <c r="D61" s="17">
        <v>18</v>
      </c>
      <c r="E61" s="17"/>
      <c r="F61" s="17"/>
      <c r="G61" s="17">
        <f t="shared" si="0"/>
        <v>-18</v>
      </c>
      <c r="H61" s="22">
        <v>0</v>
      </c>
      <c r="I61" s="20">
        <v>0.48</v>
      </c>
      <c r="J61" s="21">
        <f t="shared" si="1"/>
        <v>-8.64</v>
      </c>
    </row>
    <row r="62" spans="1:10" x14ac:dyDescent="0.25">
      <c r="A62" s="18">
        <v>2569</v>
      </c>
      <c r="B62" s="19" t="s">
        <v>91</v>
      </c>
      <c r="C62" s="19"/>
      <c r="D62" s="19">
        <v>2.52</v>
      </c>
      <c r="E62" s="19"/>
      <c r="F62" s="19"/>
      <c r="G62" s="17">
        <f t="shared" si="0"/>
        <v>-2.52</v>
      </c>
      <c r="H62" s="22">
        <v>0</v>
      </c>
      <c r="I62" s="8">
        <v>2.33</v>
      </c>
      <c r="J62" s="21">
        <f t="shared" si="1"/>
        <v>-5.8715999999999999</v>
      </c>
    </row>
    <row r="63" spans="1:10" x14ac:dyDescent="0.25">
      <c r="A63" s="16">
        <v>3524</v>
      </c>
      <c r="B63" s="17" t="s">
        <v>58</v>
      </c>
      <c r="C63" s="17">
        <v>170</v>
      </c>
      <c r="D63" s="17">
        <v>104</v>
      </c>
      <c r="E63" s="17">
        <v>96</v>
      </c>
      <c r="F63" s="17">
        <v>7</v>
      </c>
      <c r="G63" s="17">
        <f t="shared" si="0"/>
        <v>-1</v>
      </c>
      <c r="H63" s="22">
        <f t="shared" si="2"/>
        <v>-5.8823529411764705E-3</v>
      </c>
      <c r="I63" s="20">
        <v>1.33</v>
      </c>
      <c r="J63" s="21">
        <f t="shared" si="1"/>
        <v>-1.33</v>
      </c>
    </row>
    <row r="64" spans="1:10" x14ac:dyDescent="0.25">
      <c r="A64" s="18">
        <v>3586</v>
      </c>
      <c r="B64" s="19" t="s">
        <v>71</v>
      </c>
      <c r="C64" s="19">
        <v>13</v>
      </c>
      <c r="D64" s="19">
        <v>12</v>
      </c>
      <c r="E64" s="19">
        <v>10</v>
      </c>
      <c r="F64" s="19">
        <v>1</v>
      </c>
      <c r="G64" s="17">
        <f t="shared" si="0"/>
        <v>-1</v>
      </c>
      <c r="H64" s="22">
        <f t="shared" si="2"/>
        <v>-7.6923076923076927E-2</v>
      </c>
      <c r="I64" s="8">
        <v>0.56999999999999995</v>
      </c>
      <c r="J64" s="21">
        <f t="shared" si="1"/>
        <v>-0.56999999999999995</v>
      </c>
    </row>
    <row r="65" spans="1:10" x14ac:dyDescent="0.25">
      <c r="A65" s="16">
        <v>4218</v>
      </c>
      <c r="B65" s="17" t="s">
        <v>70</v>
      </c>
      <c r="C65" s="17">
        <v>31</v>
      </c>
      <c r="D65" s="17">
        <v>17</v>
      </c>
      <c r="E65" s="17">
        <v>16</v>
      </c>
      <c r="F65" s="17">
        <v>0</v>
      </c>
      <c r="G65" s="17">
        <f t="shared" si="0"/>
        <v>-1</v>
      </c>
      <c r="H65" s="22">
        <f t="shared" si="2"/>
        <v>-3.2258064516129031E-2</v>
      </c>
      <c r="I65" s="20">
        <v>3.44</v>
      </c>
      <c r="J65" s="21">
        <f t="shared" si="1"/>
        <v>-3.44</v>
      </c>
    </row>
    <row r="66" spans="1:10" x14ac:dyDescent="0.25">
      <c r="A66" s="18">
        <v>6370</v>
      </c>
      <c r="B66" s="19" t="s">
        <v>27</v>
      </c>
      <c r="C66" s="19">
        <v>126</v>
      </c>
      <c r="D66" s="19">
        <v>82</v>
      </c>
      <c r="E66" s="19">
        <v>46</v>
      </c>
      <c r="F66" s="19">
        <v>0</v>
      </c>
      <c r="G66" s="17">
        <f t="shared" si="0"/>
        <v>-36</v>
      </c>
      <c r="H66" s="22">
        <f t="shared" si="2"/>
        <v>-0.2857142857142857</v>
      </c>
      <c r="I66" s="8">
        <v>2.38</v>
      </c>
      <c r="J66" s="21">
        <f t="shared" si="1"/>
        <v>-85.679999999999993</v>
      </c>
    </row>
    <row r="67" spans="1:10" x14ac:dyDescent="0.25">
      <c r="A67" s="16">
        <v>9812</v>
      </c>
      <c r="B67" s="17" t="s">
        <v>98</v>
      </c>
      <c r="C67" s="17">
        <v>60</v>
      </c>
      <c r="D67" s="17">
        <v>48</v>
      </c>
      <c r="E67" s="17">
        <v>36</v>
      </c>
      <c r="F67" s="17">
        <v>4</v>
      </c>
      <c r="G67" s="17">
        <f t="shared" si="0"/>
        <v>-8</v>
      </c>
      <c r="H67" s="22">
        <f t="shared" si="2"/>
        <v>-0.13333333333333333</v>
      </c>
      <c r="I67" s="20">
        <v>2.4900000000000002</v>
      </c>
      <c r="J67" s="21">
        <f t="shared" si="1"/>
        <v>-19.920000000000002</v>
      </c>
    </row>
    <row r="68" spans="1:10" x14ac:dyDescent="0.25">
      <c r="A68" s="18">
        <v>11905</v>
      </c>
      <c r="B68" s="19" t="s">
        <v>31</v>
      </c>
      <c r="C68" s="19">
        <v>136</v>
      </c>
      <c r="D68" s="19">
        <v>54</v>
      </c>
      <c r="E68" s="19">
        <v>47</v>
      </c>
      <c r="F68" s="19">
        <v>0</v>
      </c>
      <c r="G68" s="17">
        <f t="shared" si="0"/>
        <v>-7</v>
      </c>
      <c r="H68" s="22">
        <f t="shared" si="2"/>
        <v>-5.1470588235294115E-2</v>
      </c>
      <c r="I68" s="8">
        <v>1.52</v>
      </c>
      <c r="J68" s="21">
        <f t="shared" si="1"/>
        <v>-10.64</v>
      </c>
    </row>
    <row r="69" spans="1:10" x14ac:dyDescent="0.25">
      <c r="A69" s="16">
        <v>13619</v>
      </c>
      <c r="B69" s="17" t="s">
        <v>96</v>
      </c>
      <c r="C69" s="17">
        <v>6</v>
      </c>
      <c r="D69" s="17">
        <v>49</v>
      </c>
      <c r="E69" s="17">
        <v>40</v>
      </c>
      <c r="F69" s="17">
        <v>4</v>
      </c>
      <c r="G69" s="17">
        <f t="shared" si="0"/>
        <v>-5</v>
      </c>
      <c r="H69" s="22">
        <f t="shared" si="2"/>
        <v>-0.83333333333333337</v>
      </c>
      <c r="I69" s="20">
        <v>2.11</v>
      </c>
      <c r="J69" s="21">
        <f t="shared" si="1"/>
        <v>-10.549999999999999</v>
      </c>
    </row>
    <row r="70" spans="1:10" x14ac:dyDescent="0.25">
      <c r="A70" s="18">
        <v>21454</v>
      </c>
      <c r="B70" s="19" t="s">
        <v>9</v>
      </c>
      <c r="C70" s="19"/>
      <c r="D70" s="19">
        <v>1</v>
      </c>
      <c r="E70" s="19"/>
      <c r="F70" s="19"/>
      <c r="G70" s="17">
        <f t="shared" si="0"/>
        <v>-1</v>
      </c>
      <c r="H70" s="22">
        <v>0</v>
      </c>
      <c r="I70" s="8">
        <v>3.05</v>
      </c>
      <c r="J70" s="21">
        <f t="shared" si="1"/>
        <v>-3.05</v>
      </c>
    </row>
    <row r="71" spans="1:10" x14ac:dyDescent="0.25">
      <c r="A71" s="16">
        <v>21799</v>
      </c>
      <c r="B71" s="17" t="s">
        <v>66</v>
      </c>
      <c r="C71" s="17">
        <v>10</v>
      </c>
      <c r="D71" s="17">
        <v>7</v>
      </c>
      <c r="E71" s="17">
        <v>5</v>
      </c>
      <c r="F71" s="17">
        <v>1</v>
      </c>
      <c r="G71" s="17">
        <f t="shared" si="0"/>
        <v>-1</v>
      </c>
      <c r="H71" s="22">
        <f t="shared" si="2"/>
        <v>-0.1</v>
      </c>
      <c r="I71" s="20">
        <v>1.08</v>
      </c>
      <c r="J71" s="21">
        <f t="shared" si="1"/>
        <v>-1.08</v>
      </c>
    </row>
    <row r="72" spans="1:10" x14ac:dyDescent="0.25">
      <c r="A72" s="18">
        <v>22483</v>
      </c>
      <c r="B72" s="19" t="s">
        <v>100</v>
      </c>
      <c r="C72" s="19"/>
      <c r="D72" s="19">
        <v>5.0000000000000001E-3</v>
      </c>
      <c r="E72" s="19"/>
      <c r="F72" s="19"/>
      <c r="G72" s="17">
        <f t="shared" ref="G72:G74" si="3">F72+E72-D72</f>
        <v>-5.0000000000000001E-3</v>
      </c>
      <c r="H72" s="22">
        <v>0</v>
      </c>
      <c r="I72" s="8">
        <v>2.5</v>
      </c>
      <c r="J72" s="21">
        <f t="shared" ref="J72:J74" si="4">I72*G72</f>
        <v>-1.2500000000000001E-2</v>
      </c>
    </row>
    <row r="73" spans="1:10" x14ac:dyDescent="0.25">
      <c r="A73" s="16">
        <v>23033</v>
      </c>
      <c r="B73" s="17" t="s">
        <v>103</v>
      </c>
      <c r="C73" s="17">
        <v>26</v>
      </c>
      <c r="D73" s="17">
        <v>23</v>
      </c>
      <c r="E73" s="17">
        <v>12</v>
      </c>
      <c r="F73" s="17">
        <v>0</v>
      </c>
      <c r="G73" s="17">
        <f t="shared" si="3"/>
        <v>-11</v>
      </c>
      <c r="H73" s="22">
        <f t="shared" ref="H73:H74" si="5">G73/C73</f>
        <v>-0.42307692307692307</v>
      </c>
      <c r="I73" s="20">
        <v>0.61</v>
      </c>
      <c r="J73" s="21">
        <f t="shared" si="4"/>
        <v>-6.71</v>
      </c>
    </row>
    <row r="74" spans="1:10" x14ac:dyDescent="0.25">
      <c r="A74" s="18">
        <v>2131</v>
      </c>
      <c r="B74" s="23" t="s">
        <v>114</v>
      </c>
      <c r="C74" s="19">
        <v>1499</v>
      </c>
      <c r="D74" s="24">
        <v>1020</v>
      </c>
      <c r="E74" s="24">
        <v>1011</v>
      </c>
      <c r="F74" s="19">
        <v>1</v>
      </c>
      <c r="G74" s="17">
        <f t="shared" si="3"/>
        <v>-8</v>
      </c>
      <c r="H74" s="22">
        <f t="shared" si="5"/>
        <v>-5.3368912608405599E-3</v>
      </c>
      <c r="I74" s="8">
        <v>0.3</v>
      </c>
      <c r="J74" s="21">
        <f t="shared" si="4"/>
        <v>-2.4</v>
      </c>
    </row>
    <row r="75" spans="1:10" x14ac:dyDescent="0.25">
      <c r="I75" s="32" t="s">
        <v>115</v>
      </c>
      <c r="J75" s="9">
        <f>SUM(J9:J74)</f>
        <v>-844.26547000000016</v>
      </c>
    </row>
  </sheetData>
  <autoFilter ref="A8:J8"/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Hoja3</vt:lpstr>
      <vt:lpstr>Hoja2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INVENTARIO-2</dc:creator>
  <cp:lastModifiedBy>INVENTARIO-2</cp:lastModifiedBy>
  <cp:lastPrinted>2022-04-27T18:04:33Z</cp:lastPrinted>
  <dcterms:created xsi:type="dcterms:W3CDTF">2022-04-27T12:51:28Z</dcterms:created>
  <dcterms:modified xsi:type="dcterms:W3CDTF">2022-04-27T18:26:22Z</dcterms:modified>
</cp:coreProperties>
</file>