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5\Desktop\DANI\"/>
    </mc:Choice>
  </mc:AlternateContent>
  <bookViews>
    <workbookView xWindow="0" yWindow="0" windowWidth="7470" windowHeight="2400"/>
  </bookViews>
  <sheets>
    <sheet name="Hoja1" sheetId="1" r:id="rId1"/>
  </sheets>
  <definedNames>
    <definedName name="_xlnm._FilterDatabase" localSheetId="0" hidden="1">Hoja1!$H$2:$J$2</definedName>
  </definedNames>
  <calcPr calcId="162913"/>
</workbook>
</file>

<file path=xl/calcChain.xml><?xml version="1.0" encoding="utf-8"?>
<calcChain xmlns="http://schemas.openxmlformats.org/spreadsheetml/2006/main">
  <c r="G54" i="1" l="1"/>
  <c r="G55" i="1"/>
  <c r="J55" i="1" l="1"/>
  <c r="H55" i="1"/>
  <c r="J54" i="1"/>
  <c r="H54" i="1"/>
  <c r="C54" i="1"/>
  <c r="C53" i="1"/>
  <c r="C51" i="1"/>
  <c r="C49" i="1"/>
  <c r="C48" i="1"/>
  <c r="C47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C32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10" i="1"/>
  <c r="C9" i="1"/>
  <c r="C12" i="1"/>
  <c r="C7" i="1"/>
  <c r="C6" i="1"/>
  <c r="C5" i="1"/>
  <c r="C4" i="1"/>
  <c r="C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" i="1"/>
  <c r="J47" i="1" l="1"/>
  <c r="H47" i="1"/>
  <c r="J39" i="1"/>
  <c r="H39" i="1"/>
  <c r="J31" i="1"/>
  <c r="H31" i="1"/>
  <c r="J23" i="1"/>
  <c r="H23" i="1"/>
  <c r="J19" i="1"/>
  <c r="H19" i="1"/>
  <c r="J11" i="1"/>
  <c r="H11" i="1"/>
  <c r="J46" i="1"/>
  <c r="H46" i="1"/>
  <c r="J38" i="1"/>
  <c r="H38" i="1"/>
  <c r="J30" i="1"/>
  <c r="H30" i="1"/>
  <c r="J22" i="1"/>
  <c r="H22" i="1"/>
  <c r="J14" i="1"/>
  <c r="H14" i="1"/>
  <c r="J10" i="1"/>
  <c r="H10" i="1"/>
  <c r="J53" i="1"/>
  <c r="H53" i="1"/>
  <c r="J49" i="1"/>
  <c r="H49" i="1"/>
  <c r="J45" i="1"/>
  <c r="H45" i="1"/>
  <c r="J41" i="1"/>
  <c r="H41" i="1"/>
  <c r="J37" i="1"/>
  <c r="H37" i="1"/>
  <c r="J33" i="1"/>
  <c r="H33" i="1"/>
  <c r="J29" i="1"/>
  <c r="H29" i="1"/>
  <c r="J25" i="1"/>
  <c r="H25" i="1"/>
  <c r="J21" i="1"/>
  <c r="H21" i="1"/>
  <c r="J17" i="1"/>
  <c r="H17" i="1"/>
  <c r="J13" i="1"/>
  <c r="H13" i="1"/>
  <c r="J9" i="1"/>
  <c r="H9" i="1"/>
  <c r="J5" i="1"/>
  <c r="H5" i="1"/>
  <c r="J51" i="1"/>
  <c r="H51" i="1"/>
  <c r="J43" i="1"/>
  <c r="H43" i="1"/>
  <c r="J35" i="1"/>
  <c r="H35" i="1"/>
  <c r="J27" i="1"/>
  <c r="H27" i="1"/>
  <c r="J15" i="1"/>
  <c r="H15" i="1"/>
  <c r="J7" i="1"/>
  <c r="H7" i="1"/>
  <c r="J50" i="1"/>
  <c r="H50" i="1"/>
  <c r="J42" i="1"/>
  <c r="H42" i="1"/>
  <c r="J34" i="1"/>
  <c r="H34" i="1"/>
  <c r="J26" i="1"/>
  <c r="H26" i="1"/>
  <c r="J18" i="1"/>
  <c r="H18" i="1"/>
  <c r="J6" i="1"/>
  <c r="H6" i="1"/>
  <c r="J52" i="1"/>
  <c r="H52" i="1"/>
  <c r="J48" i="1"/>
  <c r="H48" i="1"/>
  <c r="J44" i="1"/>
  <c r="H44" i="1"/>
  <c r="J40" i="1"/>
  <c r="H40" i="1"/>
  <c r="J36" i="1"/>
  <c r="H36" i="1"/>
  <c r="J32" i="1"/>
  <c r="H32" i="1"/>
  <c r="J28" i="1"/>
  <c r="H28" i="1"/>
  <c r="J24" i="1"/>
  <c r="H24" i="1"/>
  <c r="J20" i="1"/>
  <c r="H20" i="1"/>
  <c r="J16" i="1"/>
  <c r="H16" i="1"/>
  <c r="J12" i="1"/>
  <c r="H12" i="1"/>
  <c r="J8" i="1"/>
  <c r="H8" i="1"/>
  <c r="J4" i="1"/>
  <c r="H4" i="1"/>
  <c r="J3" i="1"/>
  <c r="H3" i="1"/>
  <c r="J56" i="1" l="1"/>
</calcChain>
</file>

<file path=xl/connections.xml><?xml version="1.0" encoding="utf-8"?>
<connections xmlns="http://schemas.openxmlformats.org/spreadsheetml/2006/main">
  <connection id="1" name="FRUVER HIPER DANI" type="4" refreshedVersion="0" background="1">
    <webPr xml="1" sourceData="1" url="C:\Users\INVENTARIO-5\Desktop\DANI\FRUVER HIPER DANI.xml" htmlTables="1" htmlFormat="all"/>
  </connection>
</connections>
</file>

<file path=xl/sharedStrings.xml><?xml version="1.0" encoding="utf-8"?>
<sst xmlns="http://schemas.openxmlformats.org/spreadsheetml/2006/main" count="65" uniqueCount="65">
  <si>
    <t>AUYAMA KG.</t>
  </si>
  <si>
    <t>AJO EN CONCHA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</si>
  <si>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</si>
  <si>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</si>
  <si>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</si>
  <si>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</si>
  <si>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</si>
  <si>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</si>
  <si>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</si>
  <si>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</si>
  <si>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OCUMO CRIOLLO KG</t>
  </si>
  <si>
    <t>OCUMO CHINO KG</t>
  </si>
  <si>
    <t>BATATA KG</t>
  </si>
  <si>
    <t>YUCA KG</t>
  </si>
  <si>
    <t>AGUACATE CHOQUETTE KG</t>
  </si>
  <si>
    <t>LIMON KG</t>
  </si>
  <si>
    <t>PLATANO KG (EXPRESS 2707,MODELO,EXQUISITECES)</t>
  </si>
  <si>
    <t>BERENJENA KG</t>
  </si>
  <si>
    <t>BROCOLI KG</t>
  </si>
  <si>
    <t>CAMBUR GUINEO KG</t>
  </si>
  <si>
    <t>CALABACIN KG</t>
  </si>
  <si>
    <t>CILANTRO KG</t>
  </si>
  <si>
    <t>COCO KG</t>
  </si>
  <si>
    <t>COLIFLOR KG</t>
  </si>
  <si>
    <t>GUAYABA KG</t>
  </si>
  <si>
    <t>LECHOZA O PAPAYA KG</t>
  </si>
  <si>
    <t>LECHUGA AMERICANA KG</t>
  </si>
  <si>
    <t>MANGA KG</t>
  </si>
  <si>
    <t>MELON KG</t>
  </si>
  <si>
    <t>NARANJA CRIOLLA KG</t>
  </si>
  <si>
    <t>ÑAME KG</t>
  </si>
  <si>
    <t>PARCHITA KG</t>
  </si>
  <si>
    <t>PATILLA KG</t>
  </si>
  <si>
    <t>PEPINO KG</t>
  </si>
  <si>
    <t>PIMENTON KG</t>
  </si>
  <si>
    <t>REMOLACHA KG</t>
  </si>
  <si>
    <t>REPOLLO BLANCO KG</t>
  </si>
  <si>
    <t>REPOLLO MORADO KG</t>
  </si>
  <si>
    <t>TOMATE KG</t>
  </si>
  <si>
    <t>TOMATE DE ARBOL  KG</t>
  </si>
  <si>
    <t>VAINITA CRIOLLA KG</t>
  </si>
  <si>
    <t>PIÑA UND</t>
  </si>
  <si>
    <t>MANZANA ROJA/VERDE /PERA KG</t>
  </si>
  <si>
    <t>TAMARINDO DE 500 GR</t>
  </si>
  <si>
    <t>BANDEJA DE JOJOTO EXPRESS 3UND</t>
  </si>
  <si>
    <t>GENJIBRE KG</t>
  </si>
  <si>
    <t>AJO PELADO 150 GR EL ANDINITO</t>
  </si>
  <si>
    <t>FRESAS ENTERAS FRESCAS KG</t>
  </si>
  <si>
    <t>JOJOTOS 4UND HACIENDA EL CAUJARAL</t>
  </si>
  <si>
    <t>JOJOTOS HACIENDA EL CAUJARAL 3UND</t>
  </si>
  <si>
    <t>MAIZ DULCE 12 UND EL CAUJARAL</t>
  </si>
  <si>
    <t>CODIGO</t>
  </si>
  <si>
    <t>PRODUCTO</t>
  </si>
  <si>
    <t>SISTEMA</t>
  </si>
  <si>
    <t>FISICO</t>
  </si>
  <si>
    <t>VENTAS</t>
  </si>
  <si>
    <t>%MERMA</t>
  </si>
  <si>
    <t>COSTO</t>
  </si>
  <si>
    <t>PERDIDA</t>
  </si>
  <si>
    <t>COMPRO</t>
  </si>
  <si>
    <t>RECEP</t>
  </si>
  <si>
    <t>ZANAHORIA KG</t>
  </si>
  <si>
    <t>PAPA COLOMBIANA KG</t>
  </si>
  <si>
    <t>INVENTARIO GENERAL DE FRUTERIA HIPER MODELO SE ESTIMA MERMA DESDE EL 02/03/22 AL 09/03/22</t>
  </si>
  <si>
    <t>%MERMA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</si>
</sst>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.00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0" borderId="0" xfId="0" applyBorder="1"/>
    <xf numFmtId="164" fontId="1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2" borderId="1" xfId="0" applyNumberFormat="1" applyFont="1" applyFill="1" applyBorder="1"/>
    <xf numFmtId="165" fontId="1" fillId="2" borderId="1" xfId="0" applyNumberFormat="1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4" xfId="0" applyFont="1" applyFill="1" applyBorder="1"/>
    <xf numFmtId="49" fontId="4" fillId="2" borderId="1" xfId="0" applyNumberFormat="1" applyFont="1" applyFill="1" applyBorder="1"/>
    <xf numFmtId="0" fontId="4" fillId="2" borderId="1" xfId="0" applyNumberFormat="1" applyFont="1" applyFill="1" applyBorder="1"/>
    <xf numFmtId="0" fontId="4" fillId="2" borderId="1" xfId="0" applyFont="1" applyFill="1" applyBorder="1"/>
    <xf numFmtId="1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0" fontId="6" fillId="0" borderId="0" xfId="0" applyFont="1"/>
    <xf numFmtId="0" fontId="4" fillId="2" borderId="0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2:G55" tableType="xml" totalsRowShown="0" headerRowDxfId="0" dataDxfId="3" headerRowBorderDxfId="10" tableBorderDxfId="11" totalsRowBorderDxfId="9" connectionId="1">
  <autoFilter ref="A2:G55">
    <filterColumn colId="6">
      <filters>
        <filter val="-0.045"/>
        <filter val="-0.18"/>
        <filter val="-0.26"/>
        <filter val="-0.315"/>
        <filter val="-0.4"/>
        <filter val="-0.515"/>
        <filter val="-0.58"/>
        <filter val="-0.745"/>
        <filter val="-0.8"/>
        <filter val="-1"/>
        <filter val="-1.2"/>
        <filter val="-1.295"/>
        <filter val="-1.33"/>
        <filter val="-1.36"/>
        <filter val="-1.45"/>
        <filter val="-1.58"/>
        <filter val="-1.89"/>
        <filter val="-1.965"/>
        <filter val="-10.42"/>
        <filter val="-11.04"/>
        <filter val="-11.25"/>
        <filter val="-14.32"/>
        <filter val="-15.46"/>
        <filter val="-17.03"/>
        <filter val="-2.01"/>
        <filter val="-2.115"/>
        <filter val="-2.17"/>
        <filter val="-2.515"/>
        <filter val="-2.535"/>
        <filter val="-2.73"/>
        <filter val="-22.99"/>
        <filter val="-25.86"/>
        <filter val="-3.38"/>
        <filter val="-4"/>
        <filter val="-4.485"/>
        <filter val="-5.215"/>
        <filter val="-5.475"/>
        <filter val="-5.56"/>
        <filter val="-5.655"/>
        <filter val="-5.995"/>
        <filter val="-6.14"/>
        <filter val="-6.765"/>
        <filter val="-8"/>
        <filter val="-9.545"/>
      </filters>
    </filterColumn>
  </autoFilter>
  <sortState ref="A2:G62">
    <sortCondition ref="A2:A62"/>
    <sortCondition ref="B2:B62"/>
  </sortState>
  <tableColumns count="7">
    <tableColumn id="5" uniqueName="Codigo_Producto" name="CODIGO" dataDxfId="8">
      <xmlColumnPr mapId="1" xpath="/ReporteStellar/Registro/Madepartamentos/Maproductos/Codigo_Producto" xmlDataType="integer"/>
    </tableColumn>
    <tableColumn id="7" uniqueName="Producto" name="PRODUCTO" dataDxfId="7">
      <xmlColumnPr mapId="1" xpath="/ReporteStellar/Registro/Madepartamentos/Maproductos/Producto" xmlDataType="string"/>
    </tableColumn>
    <tableColumn id="12" uniqueName="12" name="RECEP" dataDxfId="6"/>
    <tableColumn id="8" uniqueName="Disponibles" name="SISTEMA" dataDxfId="5">
      <xmlColumnPr mapId="1" xpath="/ReporteStellar/Registro/Madepartamentos/Maproductos/Disponibles" xmlDataType="double"/>
    </tableColumn>
    <tableColumn id="9" uniqueName="Existencia" name="FISICO" dataDxfId="4">
      <xmlColumnPr mapId="1" xpath="/ReporteStellar/Registro/Madepartamentos/Maproductos/Existencia" xmlDataType="double"/>
    </tableColumn>
    <tableColumn id="10" uniqueName="Pedido" name="VENTAS" dataDxfId="2">
      <xmlColumnPr mapId="1" xpath="/ReporteStellar/Registro/Madepartamentos/Maproductos/Pedido" xmlDataType="integer"/>
    </tableColumn>
    <tableColumn id="11" uniqueName="Comprometida" name="COMPRO" dataDxfId="1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2" zoomScale="70" zoomScaleNormal="70" workbookViewId="0">
      <selection activeCell="K2" sqref="K2"/>
    </sheetView>
  </sheetViews>
  <sheetFormatPr baseColWidth="10" defaultRowHeight="15" x14ac:dyDescent="0.25"/>
  <cols>
    <col min="1" max="1" width="13.140625" customWidth="1"/>
    <col min="2" max="2" width="35" customWidth="1"/>
    <col min="3" max="3" width="12.5703125" customWidth="1"/>
    <col min="4" max="4" width="14.85546875" customWidth="1"/>
    <col min="5" max="5" width="11.7109375" customWidth="1"/>
    <col min="6" max="6" width="14.42578125" customWidth="1"/>
    <col min="7" max="7" width="15" customWidth="1"/>
    <col min="8" max="8" width="14.42578125" style="6" customWidth="1"/>
    <col min="9" max="9" width="14" style="6" customWidth="1"/>
    <col min="10" max="10" width="14.85546875" style="6" customWidth="1"/>
  </cols>
  <sheetData>
    <row r="1" spans="1:10" ht="40.5" customHeight="1" x14ac:dyDescent="0.25">
      <c r="A1" s="8" t="s">
        <v>63</v>
      </c>
      <c r="B1" s="9"/>
      <c r="C1" s="9"/>
      <c r="D1" s="9"/>
      <c r="E1" s="9"/>
      <c r="F1" s="9"/>
      <c r="G1" s="9"/>
      <c r="H1" s="9"/>
      <c r="I1" s="9"/>
      <c r="J1" s="9"/>
    </row>
    <row r="2" spans="1:10" ht="33" customHeight="1" x14ac:dyDescent="0.25">
      <c r="A2" s="12" t="s">
        <v>51</v>
      </c>
      <c r="B2" s="13" t="s">
        <v>52</v>
      </c>
      <c r="C2" s="14" t="s">
        <v>60</v>
      </c>
      <c r="D2" s="14" t="s">
        <v>53</v>
      </c>
      <c r="E2" s="14" t="s">
        <v>54</v>
      </c>
      <c r="F2" s="15" t="s">
        <v>55</v>
      </c>
      <c r="G2" s="15" t="s">
        <v>59</v>
      </c>
      <c r="H2" s="15" t="s">
        <v>56</v>
      </c>
      <c r="I2" s="15" t="s">
        <v>57</v>
      </c>
      <c r="J2" s="15" t="s">
        <v>58</v>
      </c>
    </row>
    <row r="3" spans="1:10" x14ac:dyDescent="0.25">
      <c r="A3" s="16">
        <v>1</v>
      </c>
      <c r="B3" s="17" t="s">
        <v>0</v>
      </c>
      <c r="C3" s="18">
        <f>16.36+15</f>
        <v>31.36</v>
      </c>
      <c r="D3" s="19">
        <v>27.315000000000001</v>
      </c>
      <c r="E3" s="19">
        <v>24.8</v>
      </c>
      <c r="F3" s="19">
        <v>0</v>
      </c>
      <c r="G3" s="19">
        <f>Tabla1[[#This Row],[VENTAS]]+Tabla1[[#This Row],[FISICO]]-Tabla1[[#This Row],[SISTEMA]]</f>
        <v>-2.5150000000000006</v>
      </c>
      <c r="H3" s="20">
        <f>Tabla1[[#This Row],[COMPRO]]/Tabla1[[#This Row],[RECEP]]</f>
        <v>-8.0197704081632668E-2</v>
      </c>
      <c r="I3" s="21">
        <v>0.18</v>
      </c>
      <c r="J3" s="22">
        <f>I3*Tabla1[[#This Row],[COMPRO]]</f>
        <v>-0.4527000000000001</v>
      </c>
    </row>
    <row r="4" spans="1:10" x14ac:dyDescent="0.25">
      <c r="A4" s="16">
        <v>2</v>
      </c>
      <c r="B4" s="17" t="s">
        <v>1</v>
      </c>
      <c r="C4" s="18">
        <f>0.565+5.4</f>
        <v>5.9649999999999999</v>
      </c>
      <c r="D4" s="19">
        <v>4.4999999999999998E-2</v>
      </c>
      <c r="E4" s="19">
        <v>0</v>
      </c>
      <c r="F4" s="19">
        <v>0</v>
      </c>
      <c r="G4" s="19">
        <f>Tabla1[[#This Row],[VENTAS]]+Tabla1[[#This Row],[FISICO]]-Tabla1[[#This Row],[SISTEMA]]</f>
        <v>-4.4999999999999998E-2</v>
      </c>
      <c r="H4" s="20">
        <f>Tabla1[[#This Row],[COMPRO]]/Tabla1[[#This Row],[RECEP]]</f>
        <v>-7.5440067057837385E-3</v>
      </c>
      <c r="I4" s="21">
        <v>4.2</v>
      </c>
      <c r="J4" s="22">
        <f>I4*Tabla1[[#This Row],[COMPRO]]</f>
        <v>-0.189</v>
      </c>
    </row>
    <row r="5" spans="1:10" x14ac:dyDescent="0.25">
      <c r="A5" s="16">
        <v>4</v>
      </c>
      <c r="B5" s="17" t="s">
        <v>2</v>
      </c>
      <c r="C5" s="18">
        <f>4.6+5.71</f>
        <v>10.309999999999999</v>
      </c>
      <c r="D5" s="19">
        <v>4.5149999999999997</v>
      </c>
      <c r="E5" s="19">
        <v>4.2</v>
      </c>
      <c r="F5" s="19">
        <v>0</v>
      </c>
      <c r="G5" s="19">
        <f>Tabla1[[#This Row],[VENTAS]]+Tabla1[[#This Row],[FISICO]]-Tabla1[[#This Row],[SISTEMA]]</f>
        <v>-0.3149999999999995</v>
      </c>
      <c r="H5" s="20">
        <f>Tabla1[[#This Row],[COMPRO]]/Tabla1[[#This Row],[RECEP]]</f>
        <v>-3.0552861299708977E-2</v>
      </c>
      <c r="I5" s="21">
        <v>1.03</v>
      </c>
      <c r="J5" s="22">
        <f>I5*Tabla1[[#This Row],[COMPRO]]</f>
        <v>-0.32444999999999952</v>
      </c>
    </row>
    <row r="6" spans="1:10" x14ac:dyDescent="0.25">
      <c r="A6" s="16">
        <v>5</v>
      </c>
      <c r="B6" s="17" t="s">
        <v>3</v>
      </c>
      <c r="C6" s="18">
        <f>0.8+0.77</f>
        <v>1.57</v>
      </c>
      <c r="D6" s="19">
        <v>0.57999999999999996</v>
      </c>
      <c r="E6" s="19">
        <v>0.4</v>
      </c>
      <c r="F6" s="19">
        <v>0</v>
      </c>
      <c r="G6" s="19">
        <f>Tabla1[[#This Row],[VENTAS]]+Tabla1[[#This Row],[FISICO]]-Tabla1[[#This Row],[SISTEMA]]</f>
        <v>-0.17999999999999994</v>
      </c>
      <c r="H6" s="20">
        <f>Tabla1[[#This Row],[COMPRO]]/Tabla1[[#This Row],[RECEP]]</f>
        <v>-0.11464968152866238</v>
      </c>
      <c r="I6" s="21">
        <v>2.6</v>
      </c>
      <c r="J6" s="22">
        <f>I6*Tabla1[[#This Row],[COMPRO]]</f>
        <v>-0.46799999999999986</v>
      </c>
    </row>
    <row r="7" spans="1:10" x14ac:dyDescent="0.25">
      <c r="A7" s="16">
        <v>6</v>
      </c>
      <c r="B7" s="17" t="s">
        <v>4</v>
      </c>
      <c r="C7" s="18">
        <f>2.865+3.4</f>
        <v>6.2650000000000006</v>
      </c>
      <c r="D7" s="19">
        <v>5.7149999999999999</v>
      </c>
      <c r="E7" s="19">
        <v>3.6</v>
      </c>
      <c r="F7" s="19">
        <v>0</v>
      </c>
      <c r="G7" s="19">
        <f>Tabla1[[#This Row],[VENTAS]]+Tabla1[[#This Row],[FISICO]]-Tabla1[[#This Row],[SISTEMA]]</f>
        <v>-2.1149999999999998</v>
      </c>
      <c r="H7" s="20">
        <f>Tabla1[[#This Row],[COMPRO]]/Tabla1[[#This Row],[RECEP]]</f>
        <v>-0.33758978451715876</v>
      </c>
      <c r="I7" s="21">
        <v>1.43</v>
      </c>
      <c r="J7" s="22">
        <f>I7*Tabla1[[#This Row],[COMPRO]]</f>
        <v>-3.0244499999999994</v>
      </c>
    </row>
    <row r="8" spans="1:10" x14ac:dyDescent="0.25">
      <c r="A8" s="16">
        <v>7</v>
      </c>
      <c r="B8" s="17" t="s">
        <v>5</v>
      </c>
      <c r="C8" s="18">
        <v>9.7100000000000009</v>
      </c>
      <c r="D8" s="19">
        <v>3.98</v>
      </c>
      <c r="E8" s="19">
        <v>2.4</v>
      </c>
      <c r="F8" s="19">
        <v>0</v>
      </c>
      <c r="G8" s="19">
        <f>Tabla1[[#This Row],[VENTAS]]+Tabla1[[#This Row],[FISICO]]-Tabla1[[#This Row],[SISTEMA]]</f>
        <v>-1.58</v>
      </c>
      <c r="H8" s="20">
        <f>Tabla1[[#This Row],[COMPRO]]/Tabla1[[#This Row],[RECEP]]</f>
        <v>-0.1627188465499485</v>
      </c>
      <c r="I8" s="21">
        <v>1.32</v>
      </c>
      <c r="J8" s="22">
        <f>I8*Tabla1[[#This Row],[COMPRO]]</f>
        <v>-2.0856000000000003</v>
      </c>
    </row>
    <row r="9" spans="1:10" x14ac:dyDescent="0.25">
      <c r="A9" s="16">
        <v>8</v>
      </c>
      <c r="B9" s="17" t="s">
        <v>6</v>
      </c>
      <c r="C9" s="18">
        <f>0.46+5.71</f>
        <v>6.17</v>
      </c>
      <c r="D9" s="19">
        <v>4.7300000000000004</v>
      </c>
      <c r="E9" s="19">
        <v>2</v>
      </c>
      <c r="F9" s="19">
        <v>0</v>
      </c>
      <c r="G9" s="19">
        <f>Tabla1[[#This Row],[VENTAS]]+Tabla1[[#This Row],[FISICO]]-Tabla1[[#This Row],[SISTEMA]]</f>
        <v>-2.7300000000000004</v>
      </c>
      <c r="H9" s="20">
        <f>Tabla1[[#This Row],[COMPRO]]/Tabla1[[#This Row],[RECEP]]</f>
        <v>-0.4424635332252837</v>
      </c>
      <c r="I9" s="21">
        <v>0.8</v>
      </c>
      <c r="J9" s="22">
        <f>I9*Tabla1[[#This Row],[COMPRO]]</f>
        <v>-2.1840000000000006</v>
      </c>
    </row>
    <row r="10" spans="1:10" x14ac:dyDescent="0.25">
      <c r="A10" s="16">
        <v>9</v>
      </c>
      <c r="B10" s="17" t="s">
        <v>7</v>
      </c>
      <c r="C10" s="18">
        <f>7.4+75.8</f>
        <v>83.2</v>
      </c>
      <c r="D10" s="19">
        <v>28.414999999999999</v>
      </c>
      <c r="E10" s="19">
        <v>23.2</v>
      </c>
      <c r="F10" s="19">
        <v>0</v>
      </c>
      <c r="G10" s="19">
        <f>Tabla1[[#This Row],[VENTAS]]+Tabla1[[#This Row],[FISICO]]-Tabla1[[#This Row],[SISTEMA]]</f>
        <v>-5.2149999999999999</v>
      </c>
      <c r="H10" s="20">
        <f>Tabla1[[#This Row],[COMPRO]]/Tabla1[[#This Row],[RECEP]]</f>
        <v>-6.2680288461538461E-2</v>
      </c>
      <c r="I10" s="21">
        <v>1.22</v>
      </c>
      <c r="J10" s="22">
        <f>I10*Tabla1[[#This Row],[COMPRO]]</f>
        <v>-6.3622999999999994</v>
      </c>
    </row>
    <row r="11" spans="1:10" x14ac:dyDescent="0.25">
      <c r="A11" s="16">
        <v>10</v>
      </c>
      <c r="B11" s="17" t="s">
        <v>8</v>
      </c>
      <c r="C11" s="18">
        <f>3.8+6.4</f>
        <v>10.199999999999999</v>
      </c>
      <c r="D11" s="19">
        <v>2</v>
      </c>
      <c r="E11" s="19">
        <v>1.6</v>
      </c>
      <c r="F11" s="19">
        <v>0</v>
      </c>
      <c r="G11" s="19">
        <f>Tabla1[[#This Row],[VENTAS]]+Tabla1[[#This Row],[FISICO]]-Tabla1[[#This Row],[SISTEMA]]</f>
        <v>-0.39999999999999991</v>
      </c>
      <c r="H11" s="20">
        <f>Tabla1[[#This Row],[COMPRO]]/Tabla1[[#This Row],[RECEP]]</f>
        <v>-3.9215686274509796E-2</v>
      </c>
      <c r="I11" s="21">
        <v>1.28</v>
      </c>
      <c r="J11" s="22">
        <f>I11*Tabla1[[#This Row],[COMPRO]]</f>
        <v>-0.5119999999999999</v>
      </c>
    </row>
    <row r="12" spans="1:10" hidden="1" x14ac:dyDescent="0.25">
      <c r="A12" s="4">
        <v>11</v>
      </c>
      <c r="B12" s="2" t="s">
        <v>9</v>
      </c>
      <c r="C12" s="3">
        <f>13.6+200</f>
        <v>213.6</v>
      </c>
      <c r="D12" s="1">
        <v>8.8149999999999995</v>
      </c>
      <c r="E12" s="1">
        <v>9.8000000000000007</v>
      </c>
      <c r="F12" s="1">
        <v>0</v>
      </c>
      <c r="G12" s="1">
        <f>Tabla1[[#This Row],[VENTAS]]+Tabla1[[#This Row],[FISICO]]-Tabla1[[#This Row],[SISTEMA]]</f>
        <v>0.98500000000000121</v>
      </c>
      <c r="H12" s="10">
        <f>Tabla1[[#This Row],[COMPRO]]/Tabla1[[#This Row],[RECEP]]</f>
        <v>4.6114232209737887E-3</v>
      </c>
      <c r="I12" s="7">
        <v>1.04</v>
      </c>
      <c r="J12" s="11">
        <f>I12*Tabla1[[#This Row],[COMPRO]]</f>
        <v>1.0244000000000013</v>
      </c>
    </row>
    <row r="13" spans="1:10" x14ac:dyDescent="0.25">
      <c r="A13" s="16">
        <v>13</v>
      </c>
      <c r="B13" s="17" t="s">
        <v>10</v>
      </c>
      <c r="C13" s="18">
        <f>3.8+10.8</f>
        <v>14.600000000000001</v>
      </c>
      <c r="D13" s="19">
        <v>13.135</v>
      </c>
      <c r="E13" s="19">
        <v>10.6</v>
      </c>
      <c r="F13" s="19">
        <v>0</v>
      </c>
      <c r="G13" s="19">
        <f>Tabla1[[#This Row],[VENTAS]]+Tabla1[[#This Row],[FISICO]]-Tabla1[[#This Row],[SISTEMA]]</f>
        <v>-2.5350000000000001</v>
      </c>
      <c r="H13" s="20">
        <f>Tabla1[[#This Row],[COMPRO]]/Tabla1[[#This Row],[RECEP]]</f>
        <v>-0.17363013698630136</v>
      </c>
      <c r="I13" s="21">
        <v>0.72</v>
      </c>
      <c r="J13" s="22">
        <f>I13*Tabla1[[#This Row],[COMPRO]]</f>
        <v>-1.8251999999999999</v>
      </c>
    </row>
    <row r="14" spans="1:10" x14ac:dyDescent="0.25">
      <c r="A14" s="16">
        <v>14</v>
      </c>
      <c r="B14" s="17" t="s">
        <v>11</v>
      </c>
      <c r="C14" s="18">
        <f>3.4+5.2</f>
        <v>8.6</v>
      </c>
      <c r="D14" s="19">
        <v>7.3650000000000002</v>
      </c>
      <c r="E14" s="19">
        <v>5.4</v>
      </c>
      <c r="F14" s="19">
        <v>0</v>
      </c>
      <c r="G14" s="19">
        <f>Tabla1[[#This Row],[VENTAS]]+Tabla1[[#This Row],[FISICO]]-Tabla1[[#This Row],[SISTEMA]]</f>
        <v>-1.9649999999999999</v>
      </c>
      <c r="H14" s="20">
        <f>Tabla1[[#This Row],[COMPRO]]/Tabla1[[#This Row],[RECEP]]</f>
        <v>-0.22848837209302325</v>
      </c>
      <c r="I14" s="21">
        <v>0.88</v>
      </c>
      <c r="J14" s="22">
        <f>I14*Tabla1[[#This Row],[COMPRO]]</f>
        <v>-1.7291999999999998</v>
      </c>
    </row>
    <row r="15" spans="1:10" x14ac:dyDescent="0.25">
      <c r="A15" s="16">
        <v>15</v>
      </c>
      <c r="B15" s="17" t="s">
        <v>12</v>
      </c>
      <c r="C15" s="18">
        <f>4.2+17.4</f>
        <v>21.599999999999998</v>
      </c>
      <c r="D15" s="19">
        <v>7.58</v>
      </c>
      <c r="E15" s="19">
        <v>7</v>
      </c>
      <c r="F15" s="19">
        <v>0</v>
      </c>
      <c r="G15" s="19">
        <f>Tabla1[[#This Row],[VENTAS]]+Tabla1[[#This Row],[FISICO]]-Tabla1[[#This Row],[SISTEMA]]</f>
        <v>-0.58000000000000007</v>
      </c>
      <c r="H15" s="20">
        <f>Tabla1[[#This Row],[COMPRO]]/Tabla1[[#This Row],[RECEP]]</f>
        <v>-2.6851851851851859E-2</v>
      </c>
      <c r="I15" s="21">
        <v>0.69</v>
      </c>
      <c r="J15" s="22">
        <f>I15*Tabla1[[#This Row],[COMPRO]]</f>
        <v>-0.4002</v>
      </c>
    </row>
    <row r="16" spans="1:10" x14ac:dyDescent="0.25">
      <c r="A16" s="16">
        <v>16</v>
      </c>
      <c r="B16" s="17" t="s">
        <v>13</v>
      </c>
      <c r="C16" s="18">
        <f>6+28.8</f>
        <v>34.799999999999997</v>
      </c>
      <c r="D16" s="19">
        <v>18.46</v>
      </c>
      <c r="E16" s="19">
        <v>3</v>
      </c>
      <c r="F16" s="19">
        <v>0</v>
      </c>
      <c r="G16" s="19">
        <f>Tabla1[[#This Row],[VENTAS]]+Tabla1[[#This Row],[FISICO]]-Tabla1[[#This Row],[SISTEMA]]</f>
        <v>-15.46</v>
      </c>
      <c r="H16" s="20">
        <f>Tabla1[[#This Row],[COMPRO]]/Tabla1[[#This Row],[RECEP]]</f>
        <v>-0.44425287356321846</v>
      </c>
      <c r="I16" s="21">
        <v>0.35</v>
      </c>
      <c r="J16" s="22">
        <f>I16*Tabla1[[#This Row],[COMPRO]]</f>
        <v>-5.4109999999999996</v>
      </c>
    </row>
    <row r="17" spans="1:10" x14ac:dyDescent="0.25">
      <c r="A17" s="16">
        <v>17</v>
      </c>
      <c r="B17" s="17" t="s">
        <v>14</v>
      </c>
      <c r="C17" s="18">
        <f>16.2+47.6</f>
        <v>63.8</v>
      </c>
      <c r="D17" s="19">
        <v>28.145</v>
      </c>
      <c r="E17" s="19">
        <v>18.600000000000001</v>
      </c>
      <c r="F17" s="19">
        <v>0</v>
      </c>
      <c r="G17" s="19">
        <f>Tabla1[[#This Row],[VENTAS]]+Tabla1[[#This Row],[FISICO]]-Tabla1[[#This Row],[SISTEMA]]</f>
        <v>-9.5449999999999982</v>
      </c>
      <c r="H17" s="20">
        <f>Tabla1[[#This Row],[COMPRO]]/Tabla1[[#This Row],[RECEP]]</f>
        <v>-0.14960815047021941</v>
      </c>
      <c r="I17" s="21">
        <v>1.83</v>
      </c>
      <c r="J17" s="22">
        <f>I17*Tabla1[[#This Row],[COMPRO]]</f>
        <v>-17.467349999999996</v>
      </c>
    </row>
    <row r="18" spans="1:10" x14ac:dyDescent="0.25">
      <c r="A18" s="16">
        <v>18</v>
      </c>
      <c r="B18" s="17" t="s">
        <v>15</v>
      </c>
      <c r="C18" s="18">
        <f>16.8+46.4</f>
        <v>63.2</v>
      </c>
      <c r="D18" s="19">
        <v>25.85</v>
      </c>
      <c r="E18" s="19">
        <v>14.6</v>
      </c>
      <c r="F18" s="19">
        <v>0</v>
      </c>
      <c r="G18" s="19">
        <f>Tabla1[[#This Row],[VENTAS]]+Tabla1[[#This Row],[FISICO]]-Tabla1[[#This Row],[SISTEMA]]</f>
        <v>-11.250000000000002</v>
      </c>
      <c r="H18" s="20">
        <f>Tabla1[[#This Row],[COMPRO]]/Tabla1[[#This Row],[RECEP]]</f>
        <v>-0.17800632911392408</v>
      </c>
      <c r="I18" s="21">
        <v>1.88</v>
      </c>
      <c r="J18" s="22">
        <f>I18*Tabla1[[#This Row],[COMPRO]]</f>
        <v>-21.150000000000002</v>
      </c>
    </row>
    <row r="19" spans="1:10" x14ac:dyDescent="0.25">
      <c r="A19" s="16">
        <v>19</v>
      </c>
      <c r="B19" s="17" t="s">
        <v>16</v>
      </c>
      <c r="C19" s="18">
        <f>81.4+143</f>
        <v>224.4</v>
      </c>
      <c r="D19" s="19">
        <v>30.62</v>
      </c>
      <c r="E19" s="19">
        <v>20.2</v>
      </c>
      <c r="F19" s="19">
        <v>0</v>
      </c>
      <c r="G19" s="19">
        <f>Tabla1[[#This Row],[VENTAS]]+Tabla1[[#This Row],[FISICO]]-Tabla1[[#This Row],[SISTEMA]]</f>
        <v>-10.420000000000002</v>
      </c>
      <c r="H19" s="20">
        <f>Tabla1[[#This Row],[COMPRO]]/Tabla1[[#This Row],[RECEP]]</f>
        <v>-4.6434937611408204E-2</v>
      </c>
      <c r="I19" s="21">
        <v>1.1000000000000001</v>
      </c>
      <c r="J19" s="22">
        <f>I19*Tabla1[[#This Row],[COMPRO]]</f>
        <v>-11.462000000000003</v>
      </c>
    </row>
    <row r="20" spans="1:10" x14ac:dyDescent="0.25">
      <c r="A20" s="16">
        <v>23</v>
      </c>
      <c r="B20" s="17" t="s">
        <v>17</v>
      </c>
      <c r="C20" s="18">
        <f>1.6+6</f>
        <v>7.6</v>
      </c>
      <c r="D20" s="19">
        <v>2.65</v>
      </c>
      <c r="E20" s="19">
        <v>1.2</v>
      </c>
      <c r="F20" s="19">
        <v>0</v>
      </c>
      <c r="G20" s="19">
        <f>Tabla1[[#This Row],[VENTAS]]+Tabla1[[#This Row],[FISICO]]-Tabla1[[#This Row],[SISTEMA]]</f>
        <v>-1.45</v>
      </c>
      <c r="H20" s="20">
        <f>Tabla1[[#This Row],[COMPRO]]/Tabla1[[#This Row],[RECEP]]</f>
        <v>-0.19078947368421054</v>
      </c>
      <c r="I20" s="21">
        <v>0.35</v>
      </c>
      <c r="J20" s="22">
        <f>I20*Tabla1[[#This Row],[COMPRO]]</f>
        <v>-0.50749999999999995</v>
      </c>
    </row>
    <row r="21" spans="1:10" x14ac:dyDescent="0.25">
      <c r="A21" s="16">
        <v>24</v>
      </c>
      <c r="B21" s="17" t="s">
        <v>18</v>
      </c>
      <c r="C21" s="18">
        <f>1+4.4</f>
        <v>5.4</v>
      </c>
      <c r="D21" s="19">
        <v>4.38</v>
      </c>
      <c r="E21" s="19">
        <v>1</v>
      </c>
      <c r="F21" s="19">
        <v>0</v>
      </c>
      <c r="G21" s="19">
        <f>Tabla1[[#This Row],[VENTAS]]+Tabla1[[#This Row],[FISICO]]-Tabla1[[#This Row],[SISTEMA]]</f>
        <v>-3.38</v>
      </c>
      <c r="H21" s="20">
        <f>Tabla1[[#This Row],[COMPRO]]/Tabla1[[#This Row],[RECEP]]</f>
        <v>-0.62592592592592589</v>
      </c>
      <c r="I21" s="21">
        <v>0.88</v>
      </c>
      <c r="J21" s="22">
        <f>I21*Tabla1[[#This Row],[COMPRO]]</f>
        <v>-2.9743999999999997</v>
      </c>
    </row>
    <row r="22" spans="1:10" x14ac:dyDescent="0.25">
      <c r="A22" s="16">
        <v>26</v>
      </c>
      <c r="B22" s="17" t="s">
        <v>19</v>
      </c>
      <c r="C22" s="18">
        <f>32.8+237.1</f>
        <v>269.89999999999998</v>
      </c>
      <c r="D22" s="19">
        <v>103.37</v>
      </c>
      <c r="E22" s="19">
        <v>74.400000000000006</v>
      </c>
      <c r="F22" s="19">
        <v>3.11</v>
      </c>
      <c r="G22" s="19">
        <f>Tabla1[[#This Row],[VENTAS]]+Tabla1[[#This Row],[FISICO]]-Tabla1[[#This Row],[SISTEMA]]</f>
        <v>-25.86</v>
      </c>
      <c r="H22" s="20">
        <f>Tabla1[[#This Row],[COMPRO]]/Tabla1[[#This Row],[RECEP]]</f>
        <v>-9.5813264171915533E-2</v>
      </c>
      <c r="I22" s="21">
        <v>0.7</v>
      </c>
      <c r="J22" s="22">
        <f>I22*Tabla1[[#This Row],[COMPRO]]</f>
        <v>-18.101999999999997</v>
      </c>
    </row>
    <row r="23" spans="1:10" x14ac:dyDescent="0.25">
      <c r="A23" s="16">
        <v>28</v>
      </c>
      <c r="B23" s="17" t="s">
        <v>20</v>
      </c>
      <c r="C23" s="18">
        <f>3+13</f>
        <v>16</v>
      </c>
      <c r="D23" s="19">
        <v>9.2550000000000008</v>
      </c>
      <c r="E23" s="19">
        <v>3.6</v>
      </c>
      <c r="F23" s="19">
        <v>0</v>
      </c>
      <c r="G23" s="19">
        <f>Tabla1[[#This Row],[VENTAS]]+Tabla1[[#This Row],[FISICO]]-Tabla1[[#This Row],[SISTEMA]]</f>
        <v>-5.6550000000000011</v>
      </c>
      <c r="H23" s="20">
        <f>Tabla1[[#This Row],[COMPRO]]/Tabla1[[#This Row],[RECEP]]</f>
        <v>-0.35343750000000007</v>
      </c>
      <c r="I23" s="21">
        <v>0.5</v>
      </c>
      <c r="J23" s="22">
        <f>I23*Tabla1[[#This Row],[COMPRO]]</f>
        <v>-2.8275000000000006</v>
      </c>
    </row>
    <row r="24" spans="1:10" x14ac:dyDescent="0.25">
      <c r="A24" s="16">
        <v>31</v>
      </c>
      <c r="B24" s="17" t="s">
        <v>21</v>
      </c>
      <c r="C24" s="18">
        <f>0.4+7.8</f>
        <v>8.1999999999999993</v>
      </c>
      <c r="D24" s="19">
        <v>3.2949999999999999</v>
      </c>
      <c r="E24" s="19">
        <v>2</v>
      </c>
      <c r="F24" s="19">
        <v>0</v>
      </c>
      <c r="G24" s="19">
        <f>Tabla1[[#This Row],[VENTAS]]+Tabla1[[#This Row],[FISICO]]-Tabla1[[#This Row],[SISTEMA]]</f>
        <v>-1.2949999999999999</v>
      </c>
      <c r="H24" s="20">
        <f>Tabla1[[#This Row],[COMPRO]]/Tabla1[[#This Row],[RECEP]]</f>
        <v>-0.15792682926829268</v>
      </c>
      <c r="I24" s="21">
        <v>0.94</v>
      </c>
      <c r="J24" s="22">
        <f>I24*Tabla1[[#This Row],[COMPRO]]</f>
        <v>-1.2172999999999998</v>
      </c>
    </row>
    <row r="25" spans="1:10" hidden="1" x14ac:dyDescent="0.25">
      <c r="A25" s="4">
        <v>32</v>
      </c>
      <c r="B25" s="2" t="s">
        <v>22</v>
      </c>
      <c r="C25" s="3">
        <f>4.625+6.2</f>
        <v>10.824999999999999</v>
      </c>
      <c r="D25" s="1">
        <v>6.8949999999999996</v>
      </c>
      <c r="E25" s="1">
        <v>7</v>
      </c>
      <c r="F25" s="1">
        <v>0</v>
      </c>
      <c r="G25" s="1">
        <f>Tabla1[[#This Row],[VENTAS]]+Tabla1[[#This Row],[FISICO]]-Tabla1[[#This Row],[SISTEMA]]</f>
        <v>0.10500000000000043</v>
      </c>
      <c r="H25" s="10">
        <f>Tabla1[[#This Row],[COMPRO]]/Tabla1[[#This Row],[RECEP]]</f>
        <v>9.6997690531178231E-3</v>
      </c>
      <c r="I25" s="7">
        <v>0.75</v>
      </c>
      <c r="J25" s="11">
        <f>I25*Tabla1[[#This Row],[COMPRO]]</f>
        <v>7.875000000000032E-2</v>
      </c>
    </row>
    <row r="26" spans="1:10" x14ac:dyDescent="0.25">
      <c r="A26" s="16">
        <v>33</v>
      </c>
      <c r="B26" s="17" t="s">
        <v>23</v>
      </c>
      <c r="C26" s="18">
        <f>1.84+2.66</f>
        <v>4.5</v>
      </c>
      <c r="D26" s="19">
        <v>1.2</v>
      </c>
      <c r="E26" s="19">
        <v>0</v>
      </c>
      <c r="F26" s="19">
        <v>0</v>
      </c>
      <c r="G26" s="19">
        <f>Tabla1[[#This Row],[VENTAS]]+Tabla1[[#This Row],[FISICO]]-Tabla1[[#This Row],[SISTEMA]]</f>
        <v>-1.2</v>
      </c>
      <c r="H26" s="20">
        <f>Tabla1[[#This Row],[COMPRO]]/Tabla1[[#This Row],[RECEP]]</f>
        <v>-0.26666666666666666</v>
      </c>
      <c r="I26" s="21">
        <v>2.2799999999999998</v>
      </c>
      <c r="J26" s="22">
        <f>I26*Tabla1[[#This Row],[COMPRO]]</f>
        <v>-2.7359999999999998</v>
      </c>
    </row>
    <row r="27" spans="1:10" x14ac:dyDescent="0.25">
      <c r="A27" s="16">
        <v>40</v>
      </c>
      <c r="B27" s="17" t="s">
        <v>24</v>
      </c>
      <c r="C27" s="18">
        <f>1.2+13</f>
        <v>14.2</v>
      </c>
      <c r="D27" s="19">
        <v>2.4900000000000002</v>
      </c>
      <c r="E27" s="19">
        <v>0.6</v>
      </c>
      <c r="F27" s="19">
        <v>0</v>
      </c>
      <c r="G27" s="19">
        <f>Tabla1[[#This Row],[VENTAS]]+Tabla1[[#This Row],[FISICO]]-Tabla1[[#This Row],[SISTEMA]]</f>
        <v>-1.8900000000000001</v>
      </c>
      <c r="H27" s="20">
        <f>Tabla1[[#This Row],[COMPRO]]/Tabla1[[#This Row],[RECEP]]</f>
        <v>-0.13309859154929579</v>
      </c>
      <c r="I27" s="21">
        <v>0.64</v>
      </c>
      <c r="J27" s="22">
        <f>I27*Tabla1[[#This Row],[COMPRO]]</f>
        <v>-1.2096</v>
      </c>
    </row>
    <row r="28" spans="1:10" x14ac:dyDescent="0.25">
      <c r="A28" s="16">
        <v>44</v>
      </c>
      <c r="B28" s="17" t="s">
        <v>25</v>
      </c>
      <c r="C28" s="18">
        <f>17.95+29.8</f>
        <v>47.75</v>
      </c>
      <c r="D28" s="19">
        <v>13.074999999999999</v>
      </c>
      <c r="E28" s="19">
        <v>7.6</v>
      </c>
      <c r="F28" s="19">
        <v>0</v>
      </c>
      <c r="G28" s="19">
        <f>Tabla1[[#This Row],[VENTAS]]+Tabla1[[#This Row],[FISICO]]-Tabla1[[#This Row],[SISTEMA]]</f>
        <v>-5.4749999999999996</v>
      </c>
      <c r="H28" s="20">
        <f>Tabla1[[#This Row],[COMPRO]]/Tabla1[[#This Row],[RECEP]]</f>
        <v>-0.11465968586387434</v>
      </c>
      <c r="I28" s="21">
        <v>0.56999999999999995</v>
      </c>
      <c r="J28" s="22">
        <f>I28*Tabla1[[#This Row],[COMPRO]]</f>
        <v>-3.1207499999999997</v>
      </c>
    </row>
    <row r="29" spans="1:10" x14ac:dyDescent="0.25">
      <c r="A29" s="16">
        <v>45</v>
      </c>
      <c r="B29" s="17" t="s">
        <v>26</v>
      </c>
      <c r="C29" s="18">
        <f>5.4+66.8</f>
        <v>72.2</v>
      </c>
      <c r="D29" s="19">
        <v>24.39</v>
      </c>
      <c r="E29" s="19">
        <v>1.4</v>
      </c>
      <c r="F29" s="19">
        <v>0</v>
      </c>
      <c r="G29" s="19">
        <f>Tabla1[[#This Row],[VENTAS]]+Tabla1[[#This Row],[FISICO]]-Tabla1[[#This Row],[SISTEMA]]</f>
        <v>-22.990000000000002</v>
      </c>
      <c r="H29" s="20">
        <f>Tabla1[[#This Row],[COMPRO]]/Tabla1[[#This Row],[RECEP]]</f>
        <v>-0.31842105263157894</v>
      </c>
      <c r="I29" s="21">
        <v>0.45</v>
      </c>
      <c r="J29" s="22">
        <f>I29*Tabla1[[#This Row],[COMPRO]]</f>
        <v>-10.345500000000001</v>
      </c>
    </row>
    <row r="30" spans="1:10" x14ac:dyDescent="0.25">
      <c r="A30" s="16">
        <v>50</v>
      </c>
      <c r="B30" s="17" t="s">
        <v>27</v>
      </c>
      <c r="C30" s="18">
        <f>4+23.2</f>
        <v>27.2</v>
      </c>
      <c r="D30" s="19">
        <v>9.3699999999999992</v>
      </c>
      <c r="E30" s="19">
        <v>7.2</v>
      </c>
      <c r="F30" s="19">
        <v>0</v>
      </c>
      <c r="G30" s="19">
        <f>Tabla1[[#This Row],[VENTAS]]+Tabla1[[#This Row],[FISICO]]-Tabla1[[#This Row],[SISTEMA]]</f>
        <v>-2.169999999999999</v>
      </c>
      <c r="H30" s="20">
        <f>Tabla1[[#This Row],[COMPRO]]/Tabla1[[#This Row],[RECEP]]</f>
        <v>-7.9779411764705849E-2</v>
      </c>
      <c r="I30" s="21">
        <v>0.42</v>
      </c>
      <c r="J30" s="22">
        <f>I30*Tabla1[[#This Row],[COMPRO]]</f>
        <v>-0.91139999999999954</v>
      </c>
    </row>
    <row r="31" spans="1:10" x14ac:dyDescent="0.25">
      <c r="A31" s="16">
        <v>51</v>
      </c>
      <c r="B31" s="17" t="s">
        <v>28</v>
      </c>
      <c r="C31" s="18">
        <f>7.2+23.2</f>
        <v>30.4</v>
      </c>
      <c r="D31" s="19">
        <v>8.14</v>
      </c>
      <c r="E31" s="19">
        <v>2</v>
      </c>
      <c r="F31" s="19">
        <v>0</v>
      </c>
      <c r="G31" s="19">
        <f>Tabla1[[#This Row],[VENTAS]]+Tabla1[[#This Row],[FISICO]]-Tabla1[[#This Row],[SISTEMA]]</f>
        <v>-6.1400000000000006</v>
      </c>
      <c r="H31" s="20">
        <f>Tabla1[[#This Row],[COMPRO]]/Tabla1[[#This Row],[RECEP]]</f>
        <v>-0.20197368421052633</v>
      </c>
      <c r="I31" s="21">
        <v>0.55000000000000004</v>
      </c>
      <c r="J31" s="22">
        <f>I31*Tabla1[[#This Row],[COMPRO]]</f>
        <v>-3.3770000000000007</v>
      </c>
    </row>
    <row r="32" spans="1:10" x14ac:dyDescent="0.25">
      <c r="A32" s="16">
        <v>55</v>
      </c>
      <c r="B32" s="17" t="s">
        <v>29</v>
      </c>
      <c r="C32" s="18">
        <f>35.6+21.4</f>
        <v>57</v>
      </c>
      <c r="D32" s="19">
        <v>40.520000000000003</v>
      </c>
      <c r="E32" s="19">
        <v>26.2</v>
      </c>
      <c r="F32" s="19">
        <v>0</v>
      </c>
      <c r="G32" s="19">
        <f>Tabla1[[#This Row],[VENTAS]]+Tabla1[[#This Row],[FISICO]]-Tabla1[[#This Row],[SISTEMA]]</f>
        <v>-14.320000000000004</v>
      </c>
      <c r="H32" s="20">
        <f>Tabla1[[#This Row],[COMPRO]]/Tabla1[[#This Row],[RECEP]]</f>
        <v>-0.25122807017543869</v>
      </c>
      <c r="I32" s="21">
        <v>0.62</v>
      </c>
      <c r="J32" s="22">
        <f>I32*Tabla1[[#This Row],[COMPRO]]</f>
        <v>-8.8784000000000027</v>
      </c>
    </row>
    <row r="33" spans="1:10" x14ac:dyDescent="0.25">
      <c r="A33" s="16">
        <v>58</v>
      </c>
      <c r="B33" s="17" t="s">
        <v>30</v>
      </c>
      <c r="C33" s="18">
        <f>4.2+4.2</f>
        <v>8.4</v>
      </c>
      <c r="D33" s="19">
        <v>7.7450000000000001</v>
      </c>
      <c r="E33" s="19">
        <v>7</v>
      </c>
      <c r="F33" s="19">
        <v>0</v>
      </c>
      <c r="G33" s="19">
        <f>Tabla1[[#This Row],[VENTAS]]+Tabla1[[#This Row],[FISICO]]-Tabla1[[#This Row],[SISTEMA]]</f>
        <v>-0.74500000000000011</v>
      </c>
      <c r="H33" s="20">
        <f>Tabla1[[#This Row],[COMPRO]]/Tabla1[[#This Row],[RECEP]]</f>
        <v>-8.8690476190476195E-2</v>
      </c>
      <c r="I33" s="21">
        <v>0.5</v>
      </c>
      <c r="J33" s="22">
        <f>I33*Tabla1[[#This Row],[COMPRO]]</f>
        <v>-0.37250000000000005</v>
      </c>
    </row>
    <row r="34" spans="1:10" x14ac:dyDescent="0.25">
      <c r="A34" s="16">
        <v>60</v>
      </c>
      <c r="B34" s="17" t="s">
        <v>31</v>
      </c>
      <c r="C34" s="18">
        <f>4.6+12.2</f>
        <v>16.799999999999997</v>
      </c>
      <c r="D34" s="19">
        <v>9.8849999999999998</v>
      </c>
      <c r="E34" s="19">
        <v>5.4</v>
      </c>
      <c r="F34" s="19">
        <v>0</v>
      </c>
      <c r="G34" s="19">
        <f>Tabla1[[#This Row],[VENTAS]]+Tabla1[[#This Row],[FISICO]]-Tabla1[[#This Row],[SISTEMA]]</f>
        <v>-4.4849999999999994</v>
      </c>
      <c r="H34" s="20">
        <f>Tabla1[[#This Row],[COMPRO]]/Tabla1[[#This Row],[RECEP]]</f>
        <v>-0.26696428571428571</v>
      </c>
      <c r="I34" s="21">
        <v>1.34</v>
      </c>
      <c r="J34" s="22">
        <f>I34*Tabla1[[#This Row],[COMPRO]]</f>
        <v>-6.0099</v>
      </c>
    </row>
    <row r="35" spans="1:10" x14ac:dyDescent="0.25">
      <c r="A35" s="16">
        <v>61</v>
      </c>
      <c r="B35" s="17" t="s">
        <v>32</v>
      </c>
      <c r="C35" s="18">
        <f>16.6+27.6</f>
        <v>44.2</v>
      </c>
      <c r="D35" s="19">
        <v>30.64</v>
      </c>
      <c r="E35" s="19">
        <v>19.600000000000001</v>
      </c>
      <c r="F35" s="19">
        <v>0</v>
      </c>
      <c r="G35" s="19">
        <f>Tabla1[[#This Row],[VENTAS]]+Tabla1[[#This Row],[FISICO]]-Tabla1[[#This Row],[SISTEMA]]</f>
        <v>-11.04</v>
      </c>
      <c r="H35" s="20">
        <f>Tabla1[[#This Row],[COMPRO]]/Tabla1[[#This Row],[RECEP]]</f>
        <v>-0.24977375565610857</v>
      </c>
      <c r="I35" s="21">
        <v>0.42</v>
      </c>
      <c r="J35" s="22">
        <f>I35*Tabla1[[#This Row],[COMPRO]]</f>
        <v>-4.6367999999999991</v>
      </c>
    </row>
    <row r="36" spans="1:10" x14ac:dyDescent="0.25">
      <c r="A36" s="16">
        <v>63</v>
      </c>
      <c r="B36" s="17" t="s">
        <v>33</v>
      </c>
      <c r="C36" s="18">
        <f>5+10.6</f>
        <v>15.6</v>
      </c>
      <c r="D36" s="19">
        <v>4.01</v>
      </c>
      <c r="E36" s="19">
        <v>2</v>
      </c>
      <c r="F36" s="19">
        <v>0</v>
      </c>
      <c r="G36" s="19">
        <f>Tabla1[[#This Row],[VENTAS]]+Tabla1[[#This Row],[FISICO]]-Tabla1[[#This Row],[SISTEMA]]</f>
        <v>-2.0099999999999998</v>
      </c>
      <c r="H36" s="20">
        <f>Tabla1[[#This Row],[COMPRO]]/Tabla1[[#This Row],[RECEP]]</f>
        <v>-0.12884615384615383</v>
      </c>
      <c r="I36" s="21">
        <v>0.3</v>
      </c>
      <c r="J36" s="22">
        <f>I36*Tabla1[[#This Row],[COMPRO]]</f>
        <v>-0.60299999999999987</v>
      </c>
    </row>
    <row r="37" spans="1:10" x14ac:dyDescent="0.25">
      <c r="A37" s="16">
        <v>67</v>
      </c>
      <c r="B37" s="17" t="s">
        <v>34</v>
      </c>
      <c r="C37" s="18">
        <f>0.6+21.63</f>
        <v>22.23</v>
      </c>
      <c r="D37" s="19">
        <v>5.96</v>
      </c>
      <c r="E37" s="19">
        <v>0.4</v>
      </c>
      <c r="F37" s="19">
        <v>0</v>
      </c>
      <c r="G37" s="19">
        <f>Tabla1[[#This Row],[VENTAS]]+Tabla1[[#This Row],[FISICO]]-Tabla1[[#This Row],[SISTEMA]]</f>
        <v>-5.56</v>
      </c>
      <c r="H37" s="20">
        <f>Tabla1[[#This Row],[COMPRO]]/Tabla1[[#This Row],[RECEP]]</f>
        <v>-0.2501124606387764</v>
      </c>
      <c r="I37" s="21">
        <v>0.9</v>
      </c>
      <c r="J37" s="22">
        <f>I37*Tabla1[[#This Row],[COMPRO]]</f>
        <v>-5.0039999999999996</v>
      </c>
    </row>
    <row r="38" spans="1:10" x14ac:dyDescent="0.25">
      <c r="A38" s="16">
        <v>70</v>
      </c>
      <c r="B38" s="17" t="s">
        <v>35</v>
      </c>
      <c r="C38" s="18">
        <f>1.8+5.4</f>
        <v>7.2</v>
      </c>
      <c r="D38" s="19">
        <v>6.33</v>
      </c>
      <c r="E38" s="19">
        <v>5</v>
      </c>
      <c r="F38" s="19">
        <v>0</v>
      </c>
      <c r="G38" s="19">
        <f>Tabla1[[#This Row],[VENTAS]]+Tabla1[[#This Row],[FISICO]]-Tabla1[[#This Row],[SISTEMA]]</f>
        <v>-1.33</v>
      </c>
      <c r="H38" s="20">
        <f>Tabla1[[#This Row],[COMPRO]]/Tabla1[[#This Row],[RECEP]]</f>
        <v>-0.18472222222222223</v>
      </c>
      <c r="I38" s="21">
        <v>0.42</v>
      </c>
      <c r="J38" s="22">
        <f>I38*Tabla1[[#This Row],[COMPRO]]</f>
        <v>-0.55859999999999999</v>
      </c>
    </row>
    <row r="39" spans="1:10" x14ac:dyDescent="0.25">
      <c r="A39" s="16">
        <v>71</v>
      </c>
      <c r="B39" s="17" t="s">
        <v>36</v>
      </c>
      <c r="C39" s="18">
        <f>14.6+37.4</f>
        <v>52</v>
      </c>
      <c r="D39" s="19">
        <v>31.594999999999999</v>
      </c>
      <c r="E39" s="19">
        <v>25.6</v>
      </c>
      <c r="F39" s="19">
        <v>0</v>
      </c>
      <c r="G39" s="19">
        <f>Tabla1[[#This Row],[VENTAS]]+Tabla1[[#This Row],[FISICO]]-Tabla1[[#This Row],[SISTEMA]]</f>
        <v>-5.9949999999999974</v>
      </c>
      <c r="H39" s="20">
        <f>Tabla1[[#This Row],[COMPRO]]/Tabla1[[#This Row],[RECEP]]</f>
        <v>-0.11528846153846149</v>
      </c>
      <c r="I39" s="21">
        <v>1.06</v>
      </c>
      <c r="J39" s="22">
        <f>I39*Tabla1[[#This Row],[COMPRO]]</f>
        <v>-6.3546999999999976</v>
      </c>
    </row>
    <row r="40" spans="1:10" x14ac:dyDescent="0.25">
      <c r="A40" s="16">
        <v>72</v>
      </c>
      <c r="B40" s="17" t="s">
        <v>37</v>
      </c>
      <c r="C40" s="18">
        <f>3+4.4</f>
        <v>7.4</v>
      </c>
      <c r="D40" s="19">
        <v>5.96</v>
      </c>
      <c r="E40" s="19">
        <v>4.5999999999999996</v>
      </c>
      <c r="F40" s="19">
        <v>0</v>
      </c>
      <c r="G40" s="19">
        <f>Tabla1[[#This Row],[VENTAS]]+Tabla1[[#This Row],[FISICO]]-Tabla1[[#This Row],[SISTEMA]]</f>
        <v>-1.3600000000000003</v>
      </c>
      <c r="H40" s="20">
        <f>Tabla1[[#This Row],[COMPRO]]/Tabla1[[#This Row],[RECEP]]</f>
        <v>-0.18378378378378382</v>
      </c>
      <c r="I40" s="21">
        <v>0.84</v>
      </c>
      <c r="J40" s="22">
        <f>I40*Tabla1[[#This Row],[COMPRO]]</f>
        <v>-1.1424000000000003</v>
      </c>
    </row>
    <row r="41" spans="1:10" x14ac:dyDescent="0.25">
      <c r="A41" s="16">
        <v>78</v>
      </c>
      <c r="B41" s="17" t="s">
        <v>38</v>
      </c>
      <c r="C41" s="18">
        <f>6.4+102.6</f>
        <v>109</v>
      </c>
      <c r="D41" s="19">
        <v>29.13</v>
      </c>
      <c r="E41" s="19">
        <v>12.1</v>
      </c>
      <c r="F41" s="19">
        <v>0</v>
      </c>
      <c r="G41" s="19">
        <f>Tabla1[[#This Row],[VENTAS]]+Tabla1[[#This Row],[FISICO]]-Tabla1[[#This Row],[SISTEMA]]</f>
        <v>-17.03</v>
      </c>
      <c r="H41" s="20">
        <f>Tabla1[[#This Row],[COMPRO]]/Tabla1[[#This Row],[RECEP]]</f>
        <v>-0.15623853211009175</v>
      </c>
      <c r="I41" s="21">
        <v>0.55000000000000004</v>
      </c>
      <c r="J41" s="22">
        <f>I41*Tabla1[[#This Row],[COMPRO]]</f>
        <v>-9.366500000000002</v>
      </c>
    </row>
    <row r="42" spans="1:10" x14ac:dyDescent="0.25">
      <c r="A42" s="16">
        <v>80</v>
      </c>
      <c r="B42" s="17" t="s">
        <v>39</v>
      </c>
      <c r="C42" s="18">
        <f>3.2+3</f>
        <v>6.2</v>
      </c>
      <c r="D42" s="19">
        <v>2</v>
      </c>
      <c r="E42" s="19">
        <v>1.2</v>
      </c>
      <c r="F42" s="19">
        <v>0</v>
      </c>
      <c r="G42" s="19">
        <f>Tabla1[[#This Row],[VENTAS]]+Tabla1[[#This Row],[FISICO]]-Tabla1[[#This Row],[SISTEMA]]</f>
        <v>-0.8</v>
      </c>
      <c r="H42" s="20">
        <f>Tabla1[[#This Row],[COMPRO]]/Tabla1[[#This Row],[RECEP]]</f>
        <v>-0.12903225806451613</v>
      </c>
      <c r="I42" s="21">
        <v>1.66</v>
      </c>
      <c r="J42" s="22">
        <f>I42*Tabla1[[#This Row],[COMPRO]]</f>
        <v>-1.3280000000000001</v>
      </c>
    </row>
    <row r="43" spans="1:10" x14ac:dyDescent="0.25">
      <c r="A43" s="16">
        <v>83</v>
      </c>
      <c r="B43" s="17" t="s">
        <v>40</v>
      </c>
      <c r="C43" s="18">
        <f>1.2+2.1</f>
        <v>3.3</v>
      </c>
      <c r="D43" s="19">
        <v>0.66</v>
      </c>
      <c r="E43" s="19">
        <v>0.4</v>
      </c>
      <c r="F43" s="19">
        <v>0</v>
      </c>
      <c r="G43" s="19">
        <f>Tabla1[[#This Row],[VENTAS]]+Tabla1[[#This Row],[FISICO]]-Tabla1[[#This Row],[SISTEMA]]</f>
        <v>-0.26</v>
      </c>
      <c r="H43" s="20">
        <f>Tabla1[[#This Row],[COMPRO]]/Tabla1[[#This Row],[RECEP]]</f>
        <v>-7.8787878787878796E-2</v>
      </c>
      <c r="I43" s="21">
        <v>1.81</v>
      </c>
      <c r="J43" s="22">
        <f>I43*Tabla1[[#This Row],[COMPRO]]</f>
        <v>-0.47060000000000002</v>
      </c>
    </row>
    <row r="44" spans="1:10" x14ac:dyDescent="0.25">
      <c r="A44" s="16">
        <v>2078</v>
      </c>
      <c r="B44" s="17" t="s">
        <v>41</v>
      </c>
      <c r="C44" s="18">
        <f>6+14</f>
        <v>20</v>
      </c>
      <c r="D44" s="19">
        <v>6</v>
      </c>
      <c r="E44" s="19">
        <v>2</v>
      </c>
      <c r="F44" s="19">
        <v>0</v>
      </c>
      <c r="G44" s="19">
        <f>Tabla1[[#This Row],[VENTAS]]+Tabla1[[#This Row],[FISICO]]-Tabla1[[#This Row],[SISTEMA]]</f>
        <v>-4</v>
      </c>
      <c r="H44" s="20">
        <f>Tabla1[[#This Row],[COMPRO]]/Tabla1[[#This Row],[RECEP]]</f>
        <v>-0.2</v>
      </c>
      <c r="I44" s="21">
        <v>1.8</v>
      </c>
      <c r="J44" s="22">
        <f>I44*Tabla1[[#This Row],[COMPRO]]</f>
        <v>-7.2</v>
      </c>
    </row>
    <row r="45" spans="1:10" x14ac:dyDescent="0.25">
      <c r="A45" s="16">
        <v>2079</v>
      </c>
      <c r="B45" s="17" t="s">
        <v>42</v>
      </c>
      <c r="C45" s="18">
        <f>22+47.2</f>
        <v>69.2</v>
      </c>
      <c r="D45" s="19">
        <v>50.564999999999998</v>
      </c>
      <c r="E45" s="19">
        <v>43.8</v>
      </c>
      <c r="F45" s="19">
        <v>0</v>
      </c>
      <c r="G45" s="19">
        <f>Tabla1[[#This Row],[VENTAS]]+Tabla1[[#This Row],[FISICO]]-Tabla1[[#This Row],[SISTEMA]]</f>
        <v>-6.7650000000000006</v>
      </c>
      <c r="H45" s="20">
        <f>Tabla1[[#This Row],[COMPRO]]/Tabla1[[#This Row],[RECEP]]</f>
        <v>-9.7760115606936426E-2</v>
      </c>
      <c r="I45" s="21">
        <v>2.72</v>
      </c>
      <c r="J45" s="22">
        <f>I45*Tabla1[[#This Row],[COMPRO]]</f>
        <v>-18.400800000000004</v>
      </c>
    </row>
    <row r="46" spans="1:10" x14ac:dyDescent="0.25">
      <c r="A46" s="16">
        <v>2104</v>
      </c>
      <c r="B46" s="17" t="s">
        <v>43</v>
      </c>
      <c r="C46" s="18">
        <v>22</v>
      </c>
      <c r="D46" s="19">
        <v>11</v>
      </c>
      <c r="E46" s="19">
        <v>10</v>
      </c>
      <c r="F46" s="19">
        <v>0</v>
      </c>
      <c r="G46" s="19">
        <f>Tabla1[[#This Row],[VENTAS]]+Tabla1[[#This Row],[FISICO]]-Tabla1[[#This Row],[SISTEMA]]</f>
        <v>-1</v>
      </c>
      <c r="H46" s="20">
        <f>Tabla1[[#This Row],[COMPRO]]/Tabla1[[#This Row],[RECEP]]</f>
        <v>-4.5454545454545456E-2</v>
      </c>
      <c r="I46" s="21">
        <v>0.33</v>
      </c>
      <c r="J46" s="22">
        <f>I46*Tabla1[[#This Row],[COMPRO]]</f>
        <v>-0.33</v>
      </c>
    </row>
    <row r="47" spans="1:10" hidden="1" x14ac:dyDescent="0.25">
      <c r="A47" s="4">
        <v>2105</v>
      </c>
      <c r="B47" s="2" t="s">
        <v>44</v>
      </c>
      <c r="C47" s="3">
        <f>2+12</f>
        <v>14</v>
      </c>
      <c r="D47" s="1">
        <v>3</v>
      </c>
      <c r="E47" s="1">
        <v>3</v>
      </c>
      <c r="F47" s="1">
        <v>0</v>
      </c>
      <c r="G47" s="1">
        <f>Tabla1[[#This Row],[VENTAS]]+Tabla1[[#This Row],[FISICO]]-Tabla1[[#This Row],[SISTEMA]]</f>
        <v>0</v>
      </c>
      <c r="H47" s="10">
        <f>Tabla1[[#This Row],[COMPRO]]/Tabla1[[#This Row],[RECEP]]</f>
        <v>0</v>
      </c>
      <c r="I47" s="7">
        <v>0.66</v>
      </c>
      <c r="J47" s="11">
        <f>I47*Tabla1[[#This Row],[COMPRO]]</f>
        <v>0</v>
      </c>
    </row>
    <row r="48" spans="1:10" x14ac:dyDescent="0.25">
      <c r="A48" s="16">
        <v>2763</v>
      </c>
      <c r="B48" s="17" t="s">
        <v>45</v>
      </c>
      <c r="C48" s="18">
        <f>2.2+5.41</f>
        <v>7.61</v>
      </c>
      <c r="D48" s="19">
        <v>1.7150000000000001</v>
      </c>
      <c r="E48" s="19">
        <v>1.2</v>
      </c>
      <c r="F48" s="19">
        <v>0</v>
      </c>
      <c r="G48" s="19">
        <f>Tabla1[[#This Row],[VENTAS]]+Tabla1[[#This Row],[FISICO]]-Tabla1[[#This Row],[SISTEMA]]</f>
        <v>-0.51500000000000012</v>
      </c>
      <c r="H48" s="20">
        <f>Tabla1[[#This Row],[COMPRO]]/Tabla1[[#This Row],[RECEP]]</f>
        <v>-6.7674113009198442E-2</v>
      </c>
      <c r="I48" s="21">
        <v>1.05</v>
      </c>
      <c r="J48" s="22">
        <f>I48*Tabla1[[#This Row],[COMPRO]]</f>
        <v>-0.54075000000000017</v>
      </c>
    </row>
    <row r="49" spans="1:10" x14ac:dyDescent="0.25">
      <c r="A49" s="16">
        <v>3524</v>
      </c>
      <c r="B49" s="17" t="s">
        <v>46</v>
      </c>
      <c r="C49" s="18">
        <f>23+24</f>
        <v>47</v>
      </c>
      <c r="D49" s="19">
        <v>14</v>
      </c>
      <c r="E49" s="19">
        <v>10</v>
      </c>
      <c r="F49" s="19">
        <v>0</v>
      </c>
      <c r="G49" s="19">
        <f>Tabla1[[#This Row],[VENTAS]]+Tabla1[[#This Row],[FISICO]]-Tabla1[[#This Row],[SISTEMA]]</f>
        <v>-4</v>
      </c>
      <c r="H49" s="20">
        <f>Tabla1[[#This Row],[COMPRO]]/Tabla1[[#This Row],[RECEP]]</f>
        <v>-8.5106382978723402E-2</v>
      </c>
      <c r="I49" s="21">
        <v>1.35</v>
      </c>
      <c r="J49" s="22">
        <f>I49*Tabla1[[#This Row],[COMPRO]]</f>
        <v>-5.4</v>
      </c>
    </row>
    <row r="50" spans="1:10" x14ac:dyDescent="0.25">
      <c r="A50" s="16">
        <v>5343</v>
      </c>
      <c r="B50" s="17" t="s">
        <v>47</v>
      </c>
      <c r="C50" s="18">
        <v>16</v>
      </c>
      <c r="D50" s="19">
        <v>8</v>
      </c>
      <c r="E50" s="19">
        <v>0</v>
      </c>
      <c r="F50" s="19">
        <v>0</v>
      </c>
      <c r="G50" s="19">
        <f>Tabla1[[#This Row],[VENTAS]]+Tabla1[[#This Row],[FISICO]]-Tabla1[[#This Row],[SISTEMA]]</f>
        <v>-8</v>
      </c>
      <c r="H50" s="20">
        <f>Tabla1[[#This Row],[COMPRO]]/Tabla1[[#This Row],[RECEP]]</f>
        <v>-0.5</v>
      </c>
      <c r="I50" s="21">
        <v>5</v>
      </c>
      <c r="J50" s="22">
        <f>I50*Tabla1[[#This Row],[COMPRO]]</f>
        <v>-40</v>
      </c>
    </row>
    <row r="51" spans="1:10" hidden="1" x14ac:dyDescent="0.25">
      <c r="A51" s="4">
        <v>21297</v>
      </c>
      <c r="B51" s="2" t="s">
        <v>48</v>
      </c>
      <c r="C51" s="3">
        <f>2+3</f>
        <v>5</v>
      </c>
      <c r="D51" s="1">
        <v>2</v>
      </c>
      <c r="E51" s="1">
        <v>2</v>
      </c>
      <c r="F51" s="1">
        <v>0</v>
      </c>
      <c r="G51" s="1">
        <f>Tabla1[[#This Row],[VENTAS]]+Tabla1[[#This Row],[FISICO]]-Tabla1[[#This Row],[SISTEMA]]</f>
        <v>0</v>
      </c>
      <c r="H51" s="10">
        <f>Tabla1[[#This Row],[COMPRO]]/Tabla1[[#This Row],[RECEP]]</f>
        <v>0</v>
      </c>
      <c r="I51" s="7">
        <v>3.73</v>
      </c>
      <c r="J51" s="11">
        <f>I51*Tabla1[[#This Row],[COMPRO]]</f>
        <v>0</v>
      </c>
    </row>
    <row r="52" spans="1:10" x14ac:dyDescent="0.25">
      <c r="A52" s="16">
        <v>21454</v>
      </c>
      <c r="B52" s="17" t="s">
        <v>49</v>
      </c>
      <c r="C52" s="18">
        <v>3</v>
      </c>
      <c r="D52" s="19">
        <v>4</v>
      </c>
      <c r="E52" s="19">
        <v>3</v>
      </c>
      <c r="F52" s="19">
        <v>0</v>
      </c>
      <c r="G52" s="19">
        <f>Tabla1[[#This Row],[VENTAS]]+Tabla1[[#This Row],[FISICO]]-Tabla1[[#This Row],[SISTEMA]]</f>
        <v>-1</v>
      </c>
      <c r="H52" s="20">
        <f>Tabla1[[#This Row],[COMPRO]]/Tabla1[[#This Row],[RECEP]]</f>
        <v>-0.33333333333333331</v>
      </c>
      <c r="I52" s="21">
        <v>3.13</v>
      </c>
      <c r="J52" s="22">
        <f>I52*Tabla1[[#This Row],[COMPRO]]</f>
        <v>-3.13</v>
      </c>
    </row>
    <row r="53" spans="1:10" hidden="1" x14ac:dyDescent="0.25">
      <c r="A53" s="4">
        <v>21455</v>
      </c>
      <c r="B53" s="2" t="s">
        <v>50</v>
      </c>
      <c r="C53" s="3">
        <f>3+2</f>
        <v>5</v>
      </c>
      <c r="D53" s="1">
        <v>3</v>
      </c>
      <c r="E53" s="1">
        <v>3</v>
      </c>
      <c r="F53" s="1">
        <v>0</v>
      </c>
      <c r="G53" s="1">
        <f>Tabla1[[#This Row],[VENTAS]]+Tabla1[[#This Row],[FISICO]]-Tabla1[[#This Row],[SISTEMA]]</f>
        <v>0</v>
      </c>
      <c r="H53" s="10">
        <f>Tabla1[[#This Row],[COMPRO]]/Tabla1[[#This Row],[RECEP]]</f>
        <v>0</v>
      </c>
      <c r="I53" s="7">
        <v>2.91</v>
      </c>
      <c r="J53" s="11">
        <f>I53*Tabla1[[#This Row],[COMPRO]]</f>
        <v>0</v>
      </c>
    </row>
    <row r="54" spans="1:10" hidden="1" x14ac:dyDescent="0.25">
      <c r="A54" s="4">
        <v>85</v>
      </c>
      <c r="B54" s="2" t="s">
        <v>61</v>
      </c>
      <c r="C54" s="3">
        <f>20.61+4.2</f>
        <v>24.81</v>
      </c>
      <c r="D54" s="1">
        <v>0.53</v>
      </c>
      <c r="E54" s="1">
        <v>0.8</v>
      </c>
      <c r="F54" s="1">
        <v>0</v>
      </c>
      <c r="G54" s="1">
        <f>Tabla1[[#This Row],[VENTAS]]+Tabla1[[#This Row],[FISICO]]-Tabla1[[#This Row],[SISTEMA]]</f>
        <v>0.27</v>
      </c>
      <c r="H54" s="10">
        <f>Tabla1[[#This Row],[COMPRO]]/Tabla1[[#This Row],[RECEP]]</f>
        <v>1.0882708585247884E-2</v>
      </c>
      <c r="I54" s="7">
        <v>0.42</v>
      </c>
      <c r="J54" s="11">
        <f>I54*Tabla1[[#This Row],[COMPRO]]</f>
        <v>0.1134</v>
      </c>
    </row>
    <row r="55" spans="1:10" hidden="1" x14ac:dyDescent="0.25">
      <c r="A55" s="1">
        <v>59</v>
      </c>
      <c r="B55" s="2" t="s">
        <v>62</v>
      </c>
      <c r="C55" s="1">
        <v>2.6</v>
      </c>
      <c r="D55" s="1">
        <v>0.48</v>
      </c>
      <c r="E55" s="1">
        <v>1.2</v>
      </c>
      <c r="F55" s="5">
        <v>0</v>
      </c>
      <c r="G55" s="1">
        <f>Tabla1[[#This Row],[VENTAS]]+Tabla1[[#This Row],[FISICO]]-Tabla1[[#This Row],[SISTEMA]]</f>
        <v>0.72</v>
      </c>
      <c r="H55" s="10">
        <f>Tabla1[[#This Row],[COMPRO]]/Tabla1[[#This Row],[RECEP]]</f>
        <v>0.27692307692307688</v>
      </c>
      <c r="I55" s="7">
        <v>0.98</v>
      </c>
      <c r="J55" s="11">
        <f>I55*Tabla1[[#This Row],[COMPRO]]</f>
        <v>0.7056</v>
      </c>
    </row>
    <row r="56" spans="1:10" x14ac:dyDescent="0.25">
      <c r="A56" s="23"/>
      <c r="B56" s="23"/>
      <c r="C56" s="23"/>
      <c r="D56" s="23"/>
      <c r="E56" s="23"/>
      <c r="F56" s="24"/>
      <c r="G56" s="23"/>
      <c r="H56" s="25" t="s">
        <v>64</v>
      </c>
      <c r="I56" s="26"/>
      <c r="J56" s="22">
        <f>SUM(J3:J55)</f>
        <v>-240.18119999999999</v>
      </c>
    </row>
  </sheetData>
  <autoFilter ref="H2:J2"/>
  <mergeCells count="2">
    <mergeCell ref="A1:J1"/>
    <mergeCell ref="H56:I56"/>
  </mergeCells>
  <pageMargins left="0.7" right="0.7" top="0.75" bottom="0.75" header="0.3" footer="0.3"/>
  <pageSetup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2022-03-09T15:30:32Z</cp:lastPrinted>
  <dcterms:created xsi:type="dcterms:W3CDTF">2022-03-09T13:11:27Z</dcterms:created>
  <dcterms:modified xsi:type="dcterms:W3CDTF">2022-03-09T15:32:11Z</dcterms:modified>
</cp:coreProperties>
</file>