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-5\Desktop\"/>
    </mc:Choice>
  </mc:AlternateContent>
  <bookViews>
    <workbookView xWindow="0" yWindow="0" windowWidth="12555" windowHeight="5100" activeTab="2"/>
  </bookViews>
  <sheets>
    <sheet name="queso" sheetId="1" r:id="rId1"/>
    <sheet name="pollo" sheetId="2" r:id="rId2"/>
    <sheet name="cochino" sheetId="3" r:id="rId3"/>
  </sheets>
  <definedNames>
    <definedName name="_xlnm._FilterDatabase" localSheetId="2" hidden="1">cochino!$A$4:$J$16</definedName>
    <definedName name="_xlnm._FilterDatabase" localSheetId="0" hidden="1">queso!$A$4:$J$16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D5" i="1" l="1"/>
  <c r="G14" i="3" l="1"/>
  <c r="J14" i="3" s="1"/>
  <c r="G13" i="3"/>
  <c r="J13" i="3" s="1"/>
  <c r="G12" i="3"/>
  <c r="H12" i="3" s="1"/>
  <c r="G11" i="3"/>
  <c r="J11" i="3" s="1"/>
  <c r="C11" i="3"/>
  <c r="G10" i="3"/>
  <c r="J10" i="3" s="1"/>
  <c r="C10" i="3"/>
  <c r="G9" i="3"/>
  <c r="J9" i="3" s="1"/>
  <c r="C9" i="3"/>
  <c r="G8" i="3"/>
  <c r="J8" i="3" s="1"/>
  <c r="G7" i="3"/>
  <c r="J7" i="3" s="1"/>
  <c r="C7" i="3"/>
  <c r="G6" i="3"/>
  <c r="J6" i="3" s="1"/>
  <c r="C6" i="3"/>
  <c r="G5" i="3"/>
  <c r="J5" i="3" s="1"/>
  <c r="E5" i="3"/>
  <c r="E16" i="2"/>
  <c r="G16" i="2" s="1"/>
  <c r="J16" i="2" s="1"/>
  <c r="D16" i="2"/>
  <c r="C16" i="2"/>
  <c r="G15" i="2"/>
  <c r="C15" i="2"/>
  <c r="D14" i="2"/>
  <c r="G14" i="2" s="1"/>
  <c r="C14" i="2"/>
  <c r="G13" i="2"/>
  <c r="J13" i="2" s="1"/>
  <c r="C13" i="2"/>
  <c r="G12" i="2"/>
  <c r="J12" i="2" s="1"/>
  <c r="C12" i="2"/>
  <c r="G11" i="2"/>
  <c r="J11" i="2" s="1"/>
  <c r="C11" i="2"/>
  <c r="D10" i="2"/>
  <c r="G10" i="2" s="1"/>
  <c r="C10" i="2"/>
  <c r="E9" i="2"/>
  <c r="G9" i="2" s="1"/>
  <c r="J9" i="2" s="1"/>
  <c r="C9" i="2"/>
  <c r="G8" i="2"/>
  <c r="J8" i="2" s="1"/>
  <c r="C8" i="2"/>
  <c r="E7" i="2"/>
  <c r="G7" i="2" s="1"/>
  <c r="C7" i="2"/>
  <c r="G6" i="2"/>
  <c r="J6" i="2" s="1"/>
  <c r="C6" i="2"/>
  <c r="H6" i="2" s="1"/>
  <c r="E5" i="2"/>
  <c r="G5" i="2" s="1"/>
  <c r="C5" i="2"/>
  <c r="D4" i="2"/>
  <c r="G4" i="2" s="1"/>
  <c r="C4" i="2"/>
  <c r="C7" i="1"/>
  <c r="C13" i="1"/>
  <c r="C10" i="1"/>
  <c r="C6" i="1"/>
  <c r="C5" i="1"/>
  <c r="E5" i="1"/>
  <c r="J15" i="3" l="1"/>
  <c r="J12" i="3"/>
  <c r="J16" i="3" s="1"/>
  <c r="H9" i="3"/>
  <c r="H10" i="3"/>
  <c r="H11" i="3"/>
  <c r="H8" i="3"/>
  <c r="J7" i="2"/>
  <c r="H7" i="2"/>
  <c r="H8" i="2"/>
  <c r="H15" i="2"/>
  <c r="J15" i="2"/>
  <c r="H5" i="3"/>
  <c r="H6" i="3"/>
  <c r="H7" i="3"/>
  <c r="H14" i="3"/>
  <c r="H13" i="3"/>
  <c r="J17" i="2"/>
  <c r="H5" i="2"/>
  <c r="J5" i="2"/>
  <c r="J10" i="2"/>
  <c r="H10" i="2"/>
  <c r="H14" i="2"/>
  <c r="J14" i="2"/>
  <c r="J4" i="2"/>
  <c r="H4" i="2"/>
  <c r="H9" i="2"/>
  <c r="H16" i="2"/>
  <c r="H11" i="2"/>
  <c r="H12" i="2"/>
  <c r="H13" i="2"/>
  <c r="G5" i="1" l="1"/>
  <c r="J5" i="1" s="1"/>
  <c r="G6" i="1"/>
  <c r="J6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J15" i="1" l="1"/>
  <c r="H6" i="1"/>
  <c r="H7" i="1"/>
  <c r="H8" i="1"/>
  <c r="H9" i="1"/>
  <c r="H10" i="1"/>
  <c r="H11" i="1"/>
  <c r="H12" i="1"/>
  <c r="H13" i="1"/>
  <c r="H14" i="1"/>
  <c r="H5" i="1" l="1"/>
</calcChain>
</file>

<file path=xl/sharedStrings.xml><?xml version="1.0" encoding="utf-8"?>
<sst xmlns="http://schemas.openxmlformats.org/spreadsheetml/2006/main" count="73" uniqueCount="51">
  <si>
    <t>POLLO</t>
  </si>
  <si>
    <t>SISTEMA</t>
  </si>
  <si>
    <t>FISICO</t>
  </si>
  <si>
    <t>VENTAS</t>
  </si>
  <si>
    <t>DIFERENCIA</t>
  </si>
  <si>
    <t>ALAS DE POLLO</t>
  </si>
  <si>
    <t>HIGADO</t>
  </si>
  <si>
    <t>MILANESA DE POLLO KG</t>
  </si>
  <si>
    <t>MOLLEJA DE POLLO KG</t>
  </si>
  <si>
    <t>MUSLO DE POLLO</t>
  </si>
  <si>
    <t>PATAS DE POLLO KG</t>
  </si>
  <si>
    <t>POLLO ENTERO.</t>
  </si>
  <si>
    <t>MILANESA EMPANIZADA KG</t>
  </si>
  <si>
    <t>HAM. POLLO LA GANJA KG</t>
  </si>
  <si>
    <t>NUGGETS</t>
  </si>
  <si>
    <t>QUESO</t>
  </si>
  <si>
    <t>QUESO DURO</t>
  </si>
  <si>
    <t>GUAYANES</t>
  </si>
  <si>
    <t>PALMIZULIA</t>
  </si>
  <si>
    <t>SANTA BARBARA</t>
  </si>
  <si>
    <t>RICOTTA SIN SAL KG</t>
  </si>
  <si>
    <t>CUAJADA KG</t>
  </si>
  <si>
    <t>REQUEZON KG</t>
  </si>
  <si>
    <t>%MERMA</t>
  </si>
  <si>
    <t>ULT. RECEPCION</t>
  </si>
  <si>
    <t>COSTO</t>
  </si>
  <si>
    <t>COSTO TOTAL</t>
  </si>
  <si>
    <t>TELITA</t>
  </si>
  <si>
    <t>MERIDEÑO</t>
  </si>
  <si>
    <t>COCHINO</t>
  </si>
  <si>
    <t>PERNIL CON HUESO</t>
  </si>
  <si>
    <t>POLLO PICADO</t>
  </si>
  <si>
    <t>PATA DE COCHINO</t>
  </si>
  <si>
    <t xml:space="preserve">COSTILLA DE COCHINO </t>
  </si>
  <si>
    <t>PULPA DE COCHINO</t>
  </si>
  <si>
    <t>CHULETA AHUMADA</t>
  </si>
  <si>
    <t>ALAS PARRILLERAS</t>
  </si>
  <si>
    <t>MUSLO PARRILLERO</t>
  </si>
  <si>
    <t>HUESO AHUMADO</t>
  </si>
  <si>
    <t>CHULETA FRESCA</t>
  </si>
  <si>
    <t>PALMICON</t>
  </si>
  <si>
    <t xml:space="preserve">TOCINO </t>
  </si>
  <si>
    <t>CHORIZO MIXTO</t>
  </si>
  <si>
    <t>CHULETA DE PERNIL</t>
  </si>
  <si>
    <t>CODIGO</t>
  </si>
  <si>
    <t>DESCRIPCION</t>
  </si>
  <si>
    <t xml:space="preserve"> CUADRO DE PORCENTAJE DE MERMAS Y COSTOS AUTOMERCADO EXPRESS 2707 EN FECHA 14/02 AL 14/03/2022</t>
  </si>
  <si>
    <t>TOTAL $</t>
  </si>
  <si>
    <t>TOTAL</t>
  </si>
  <si>
    <t>codigo</t>
  </si>
  <si>
    <t xml:space="preserve"> RECEPCION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</si>
</sst>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3" borderId="1" xfId="0" applyFont="1" applyFill="1" applyBorder="1"/>
    <xf numFmtId="0" fontId="3" fillId="3" borderId="1" xfId="0" applyNumberFormat="1" applyFont="1" applyFill="1" applyBorder="1"/>
    <xf numFmtId="0" fontId="0" fillId="3" borderId="0" xfId="0" applyFill="1"/>
    <xf numFmtId="0" fontId="0" fillId="3" borderId="1" xfId="0" applyFill="1" applyBorder="1"/>
    <xf numFmtId="10" fontId="3" fillId="3" borderId="1" xfId="1" applyNumberFormat="1" applyFont="1" applyFill="1" applyBorder="1"/>
    <xf numFmtId="164" fontId="0" fillId="3" borderId="1" xfId="0" applyNumberFormat="1" applyFill="1" applyBorder="1"/>
    <xf numFmtId="0" fontId="0" fillId="0" borderId="1" xfId="0" applyBorder="1"/>
    <xf numFmtId="0" fontId="3" fillId="3" borderId="3" xfId="0" applyNumberFormat="1" applyFont="1" applyFill="1" applyBorder="1"/>
    <xf numFmtId="10" fontId="3" fillId="3" borderId="3" xfId="1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0" fontId="7" fillId="0" borderId="9" xfId="0" applyFont="1" applyBorder="1"/>
    <xf numFmtId="164" fontId="7" fillId="0" borderId="10" xfId="0" applyNumberFormat="1" applyFont="1" applyBorder="1"/>
    <xf numFmtId="0" fontId="4" fillId="0" borderId="9" xfId="0" applyFont="1" applyBorder="1"/>
    <xf numFmtId="164" fontId="4" fillId="0" borderId="10" xfId="0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10" fontId="3" fillId="3" borderId="3" xfId="1" applyNumberFormat="1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0" fontId="3" fillId="3" borderId="11" xfId="0" applyFont="1" applyFill="1" applyBorder="1"/>
    <xf numFmtId="0" fontId="3" fillId="3" borderId="11" xfId="0" applyNumberFormat="1" applyFont="1" applyFill="1" applyBorder="1"/>
    <xf numFmtId="10" fontId="3" fillId="3" borderId="11" xfId="1" applyNumberFormat="1" applyFont="1" applyFill="1" applyBorder="1"/>
    <xf numFmtId="164" fontId="0" fillId="3" borderId="11" xfId="0" applyNumberFormat="1" applyFill="1" applyBorder="1"/>
    <xf numFmtId="0" fontId="0" fillId="3" borderId="11" xfId="0" applyFill="1" applyBorder="1"/>
    <xf numFmtId="10" fontId="3" fillId="3" borderId="12" xfId="1" applyNumberFormat="1" applyFont="1" applyFill="1" applyBorder="1"/>
    <xf numFmtId="164" fontId="4" fillId="3" borderId="13" xfId="0" applyNumberFormat="1" applyFont="1" applyFill="1" applyBorder="1"/>
    <xf numFmtId="164" fontId="4" fillId="3" borderId="14" xfId="0" applyNumberFormat="1" applyFont="1" applyFill="1" applyBorder="1"/>
    <xf numFmtId="164" fontId="0" fillId="3" borderId="15" xfId="0" applyNumberForma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a14" displayName="Tabla14" ref="A3:J16" totalsRowShown="0" headerRowDxfId="11" dataDxfId="10">
  <autoFilter ref="A3:J16"/>
  <sortState ref="A6:F12">
    <sortCondition ref="B2:B8"/>
  </sortState>
  <tableColumns count="10">
    <tableColumn id="5" name="codigo" dataDxfId="9"/>
    <tableColumn id="7" name="DESCRIPCION" dataDxfId="8"/>
    <tableColumn id="2" name="ULT. RECEPCION" dataDxfId="7"/>
    <tableColumn id="8" name="SISTEMA" dataDxfId="6"/>
    <tableColumn id="9" name="FISICO" dataDxfId="5"/>
    <tableColumn id="10" name="VENTAS" dataDxfId="4"/>
    <tableColumn id="11" name="DIFERENCIA" dataDxfId="3">
      <calculatedColumnFormula>Tabla14[[#This Row],[VENTAS]]+Tabla14[[#This Row],[FISICO]]-Tabla14[[#This Row],[SISTEMA]]</calculatedColumnFormula>
    </tableColumn>
    <tableColumn id="13" name="%MERMA" dataDxfId="2">
      <calculatedColumnFormula>Tabla14[[#This Row],[DIFERENCIA]]/Tabla14[[#This Row],[ULT. RECEPCION]]</calculatedColumnFormula>
    </tableColumn>
    <tableColumn id="3" name="COSTO" dataDxfId="1"/>
    <tableColumn id="4" name="COSTO TOTAL" dataDxfId="0">
      <calculatedColumnFormula>Tabla14[[#This Row],[COSTO]]*Tabla14[[#This Row],[DIFERENCIA]]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D6" sqref="D6"/>
    </sheetView>
  </sheetViews>
  <sheetFormatPr baseColWidth="10" defaultRowHeight="15"/>
  <cols>
    <col min="1" max="1" width="9.7109375" customWidth="1"/>
    <col min="2" max="2" width="26.7109375" customWidth="1"/>
    <col min="3" max="3" width="13.85546875" customWidth="1"/>
    <col min="4" max="4" width="12" customWidth="1"/>
    <col min="5" max="5" width="8.5703125" customWidth="1"/>
    <col min="6" max="6" width="9.5703125" customWidth="1"/>
    <col min="9" max="9" width="8.85546875" customWidth="1"/>
    <col min="10" max="10" width="12.140625" customWidth="1"/>
  </cols>
  <sheetData>
    <row r="1" spans="1:10" ht="13.5" customHeight="1">
      <c r="A1" s="51"/>
      <c r="B1" s="51"/>
      <c r="C1" s="51"/>
      <c r="D1" s="51"/>
      <c r="E1" s="51"/>
      <c r="F1" s="51"/>
      <c r="G1" s="51"/>
      <c r="H1" s="51"/>
    </row>
    <row r="2" spans="1:10" ht="39" customHeight="1">
      <c r="A2" s="52" t="s">
        <v>46</v>
      </c>
      <c r="B2" s="52"/>
      <c r="C2" s="52"/>
      <c r="D2" s="52"/>
      <c r="E2" s="52"/>
      <c r="F2" s="52"/>
      <c r="G2" s="52"/>
      <c r="H2" s="52"/>
    </row>
    <row r="3" spans="1:10" s="3" customFormat="1" ht="23.25">
      <c r="A3" s="53" t="s">
        <v>15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3" customFormat="1" ht="27.75" customHeight="1">
      <c r="A4" s="12" t="s">
        <v>44</v>
      </c>
      <c r="B4" s="12" t="s">
        <v>45</v>
      </c>
      <c r="C4" s="12" t="s">
        <v>24</v>
      </c>
      <c r="D4" s="12" t="s">
        <v>1</v>
      </c>
      <c r="E4" s="12" t="s">
        <v>2</v>
      </c>
      <c r="F4" s="12" t="s">
        <v>3</v>
      </c>
      <c r="G4" s="12" t="s">
        <v>4</v>
      </c>
      <c r="H4" s="13" t="s">
        <v>23</v>
      </c>
      <c r="I4" s="12" t="s">
        <v>25</v>
      </c>
      <c r="J4" s="12" t="s">
        <v>26</v>
      </c>
    </row>
    <row r="5" spans="1:10" s="3" customFormat="1">
      <c r="A5" s="1">
        <v>1786</v>
      </c>
      <c r="B5" s="1" t="s">
        <v>16</v>
      </c>
      <c r="C5" s="1">
        <f>9966.8+1539</f>
        <v>11505.8</v>
      </c>
      <c r="D5" s="1">
        <f>2162.5-12.29</f>
        <v>2150.21</v>
      </c>
      <c r="E5" s="1">
        <f>1877+6.4</f>
        <v>1883.4</v>
      </c>
      <c r="F5" s="1">
        <v>130.84</v>
      </c>
      <c r="G5" s="2">
        <f>F5+E5-D5</f>
        <v>-135.97000000000003</v>
      </c>
      <c r="H5" s="5">
        <f>G5/C5</f>
        <v>-1.181751812129535E-2</v>
      </c>
      <c r="I5" s="6">
        <v>3.6</v>
      </c>
      <c r="J5" s="6">
        <f>I5*G5</f>
        <v>-489.49200000000013</v>
      </c>
    </row>
    <row r="6" spans="1:10" s="3" customFormat="1">
      <c r="A6" s="1">
        <v>1794</v>
      </c>
      <c r="B6" s="1" t="s">
        <v>17</v>
      </c>
      <c r="C6" s="1">
        <f>757+244.68</f>
        <v>1001.6800000000001</v>
      </c>
      <c r="D6" s="1">
        <v>244.64</v>
      </c>
      <c r="E6" s="1">
        <v>224</v>
      </c>
      <c r="F6" s="1">
        <v>19.02</v>
      </c>
      <c r="G6" s="2">
        <f t="shared" ref="G6:G14" si="0">F6+E6-D6</f>
        <v>-1.6199999999999761</v>
      </c>
      <c r="H6" s="5">
        <f t="shared" ref="H6:H14" si="1">G6/C6</f>
        <v>-1.6172829646194154E-3</v>
      </c>
      <c r="I6" s="6">
        <v>3.4</v>
      </c>
      <c r="J6" s="6">
        <f t="shared" ref="J6:J14" si="2">I6*G6</f>
        <v>-5.5079999999999183</v>
      </c>
    </row>
    <row r="7" spans="1:10" s="3" customFormat="1" ht="15.75" customHeight="1">
      <c r="A7" s="1">
        <v>1798</v>
      </c>
      <c r="B7" s="1" t="s">
        <v>18</v>
      </c>
      <c r="C7" s="1">
        <f>5.62+2.2</f>
        <v>7.82</v>
      </c>
      <c r="D7" s="1">
        <v>0.54</v>
      </c>
      <c r="E7" s="1">
        <v>0</v>
      </c>
      <c r="F7" s="1">
        <v>0</v>
      </c>
      <c r="G7" s="2">
        <f t="shared" si="0"/>
        <v>-0.54</v>
      </c>
      <c r="H7" s="5">
        <f t="shared" si="1"/>
        <v>-6.9053708439897707E-2</v>
      </c>
      <c r="I7" s="6">
        <v>8.52</v>
      </c>
      <c r="J7" s="6">
        <f t="shared" si="2"/>
        <v>-4.6008000000000004</v>
      </c>
    </row>
    <row r="8" spans="1:10" s="3" customFormat="1">
      <c r="A8" s="1">
        <v>1797</v>
      </c>
      <c r="B8" s="1" t="s">
        <v>19</v>
      </c>
      <c r="C8" s="1">
        <v>126.61</v>
      </c>
      <c r="D8" s="1">
        <v>34.68</v>
      </c>
      <c r="E8" s="1">
        <v>31</v>
      </c>
      <c r="F8" s="1">
        <v>3.08</v>
      </c>
      <c r="G8" s="2">
        <f t="shared" si="0"/>
        <v>-0.60000000000000142</v>
      </c>
      <c r="H8" s="5">
        <f t="shared" si="1"/>
        <v>-4.7389621672853759E-3</v>
      </c>
      <c r="I8" s="6">
        <v>9.5</v>
      </c>
      <c r="J8" s="6">
        <f t="shared" si="2"/>
        <v>-5.7000000000000135</v>
      </c>
    </row>
    <row r="9" spans="1:10" s="3" customFormat="1">
      <c r="A9" s="42">
        <v>1793</v>
      </c>
      <c r="B9" s="42" t="s">
        <v>20</v>
      </c>
      <c r="C9" s="42">
        <v>240.78</v>
      </c>
      <c r="D9" s="42">
        <v>24.29</v>
      </c>
      <c r="E9" s="42">
        <v>20.399999999999999</v>
      </c>
      <c r="F9" s="42">
        <v>4.74</v>
      </c>
      <c r="G9" s="43">
        <f t="shared" si="0"/>
        <v>0.85000000000000142</v>
      </c>
      <c r="H9" s="44">
        <f t="shared" si="1"/>
        <v>3.5301935376692477E-3</v>
      </c>
      <c r="I9" s="45">
        <v>2</v>
      </c>
      <c r="J9" s="45">
        <f t="shared" si="2"/>
        <v>1.7000000000000028</v>
      </c>
    </row>
    <row r="10" spans="1:10" s="3" customFormat="1">
      <c r="A10" s="1">
        <v>4931</v>
      </c>
      <c r="B10" s="1" t="s">
        <v>21</v>
      </c>
      <c r="C10" s="1">
        <f>226.6+11.78</f>
        <v>238.38</v>
      </c>
      <c r="D10" s="1">
        <v>114.82</v>
      </c>
      <c r="E10" s="1">
        <v>96.8</v>
      </c>
      <c r="F10" s="1">
        <v>3.34</v>
      </c>
      <c r="G10" s="2">
        <f t="shared" si="0"/>
        <v>-14.679999999999993</v>
      </c>
      <c r="H10" s="5">
        <f t="shared" si="1"/>
        <v>-6.1582347512375173E-2</v>
      </c>
      <c r="I10" s="6">
        <v>4</v>
      </c>
      <c r="J10" s="6">
        <f t="shared" si="2"/>
        <v>-58.71999999999997</v>
      </c>
    </row>
    <row r="11" spans="1:10" ht="13.5" customHeight="1">
      <c r="A11" s="4">
        <v>4930</v>
      </c>
      <c r="B11" s="4" t="s">
        <v>22</v>
      </c>
      <c r="C11" s="1">
        <v>188.2</v>
      </c>
      <c r="D11" s="4">
        <v>4.7300000000000004</v>
      </c>
      <c r="E11" s="4">
        <v>0</v>
      </c>
      <c r="F11" s="4">
        <v>0</v>
      </c>
      <c r="G11" s="2">
        <f t="shared" si="0"/>
        <v>-4.7300000000000004</v>
      </c>
      <c r="H11" s="5">
        <f t="shared" si="1"/>
        <v>-2.513283740701382E-2</v>
      </c>
      <c r="I11" s="6">
        <v>1.9</v>
      </c>
      <c r="J11" s="6">
        <f t="shared" si="2"/>
        <v>-8.9870000000000001</v>
      </c>
    </row>
    <row r="12" spans="1:10" ht="14.25" customHeight="1">
      <c r="A12" s="4">
        <v>5742</v>
      </c>
      <c r="B12" s="4" t="s">
        <v>27</v>
      </c>
      <c r="C12" s="4">
        <v>107.7</v>
      </c>
      <c r="D12" s="4">
        <v>4.05</v>
      </c>
      <c r="E12" s="4">
        <v>0</v>
      </c>
      <c r="F12" s="4">
        <v>0</v>
      </c>
      <c r="G12" s="2">
        <f t="shared" si="0"/>
        <v>-4.05</v>
      </c>
      <c r="H12" s="5">
        <f t="shared" si="1"/>
        <v>-3.7604456824512529E-2</v>
      </c>
      <c r="I12" s="6">
        <v>3.4</v>
      </c>
      <c r="J12" s="6">
        <f t="shared" si="2"/>
        <v>-13.77</v>
      </c>
    </row>
    <row r="13" spans="1:10">
      <c r="A13" s="4">
        <v>76</v>
      </c>
      <c r="B13" s="4" t="s">
        <v>28</v>
      </c>
      <c r="C13" s="7">
        <f>320.62+10.375</f>
        <v>330.995</v>
      </c>
      <c r="D13" s="4">
        <v>92.6</v>
      </c>
      <c r="E13" s="4">
        <v>73.2</v>
      </c>
      <c r="F13" s="4">
        <v>10.85</v>
      </c>
      <c r="G13" s="2">
        <f t="shared" si="0"/>
        <v>-8.5499999999999972</v>
      </c>
      <c r="H13" s="5">
        <f t="shared" si="1"/>
        <v>-2.5831205909454816E-2</v>
      </c>
      <c r="I13" s="6">
        <v>4</v>
      </c>
      <c r="J13" s="6">
        <f t="shared" si="2"/>
        <v>-34.199999999999989</v>
      </c>
    </row>
    <row r="14" spans="1:10">
      <c r="A14" s="4">
        <v>1718</v>
      </c>
      <c r="B14" s="4" t="s">
        <v>40</v>
      </c>
      <c r="C14" s="4">
        <v>193.39500000000001</v>
      </c>
      <c r="D14" s="4">
        <v>83.73</v>
      </c>
      <c r="E14" s="4">
        <v>77</v>
      </c>
      <c r="F14" s="4">
        <v>1.47</v>
      </c>
      <c r="G14" s="2">
        <f t="shared" si="0"/>
        <v>-5.2600000000000051</v>
      </c>
      <c r="H14" s="5">
        <f t="shared" si="1"/>
        <v>-2.7198221257012874E-2</v>
      </c>
      <c r="I14" s="6">
        <v>3.3</v>
      </c>
      <c r="J14" s="6">
        <f t="shared" si="2"/>
        <v>-17.358000000000015</v>
      </c>
    </row>
    <row r="15" spans="1:10" ht="16.5" thickBot="1">
      <c r="A15" s="46"/>
      <c r="B15" s="46"/>
      <c r="C15" s="46"/>
      <c r="D15" s="46"/>
      <c r="E15" s="46"/>
      <c r="F15" s="46"/>
      <c r="G15" s="43"/>
      <c r="H15" s="47"/>
      <c r="I15" s="48" t="s">
        <v>48</v>
      </c>
      <c r="J15" s="49">
        <f>J14+J13+J12+J11+J10+J8+J7+J6+J5</f>
        <v>-638.33580000000006</v>
      </c>
    </row>
    <row r="16" spans="1:10">
      <c r="A16" s="14"/>
      <c r="B16" s="15"/>
      <c r="C16" s="15"/>
      <c r="D16" s="15"/>
      <c r="E16" s="15"/>
      <c r="F16" s="15"/>
      <c r="G16" s="8"/>
      <c r="H16" s="9"/>
      <c r="I16" s="16"/>
      <c r="J16" s="17"/>
    </row>
    <row r="17" spans="10:10" ht="13.5" customHeight="1">
      <c r="J17" s="50"/>
    </row>
    <row r="18" spans="10:10" ht="21.75" customHeight="1"/>
    <row r="19" spans="10:10" ht="21.75" customHeight="1"/>
    <row r="20" spans="10:10" ht="21.75" customHeight="1"/>
    <row r="21" spans="10:10" ht="21.75" customHeight="1"/>
  </sheetData>
  <autoFilter ref="A4:J16"/>
  <mergeCells count="3">
    <mergeCell ref="A1:H1"/>
    <mergeCell ref="A2:H2"/>
    <mergeCell ref="A3:J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G18" sqref="G18"/>
    </sheetView>
  </sheetViews>
  <sheetFormatPr baseColWidth="10" defaultRowHeight="15"/>
  <cols>
    <col min="2" max="2" width="25.7109375" bestFit="1" customWidth="1"/>
    <col min="3" max="3" width="19.85546875" bestFit="1" customWidth="1"/>
  </cols>
  <sheetData>
    <row r="1" spans="1:10" ht="15.75" customHeight="1">
      <c r="A1" s="52" t="s">
        <v>46</v>
      </c>
      <c r="B1" s="52"/>
      <c r="C1" s="52"/>
      <c r="D1" s="52"/>
      <c r="E1" s="52"/>
      <c r="F1" s="52"/>
      <c r="G1" s="52"/>
      <c r="H1" s="52"/>
    </row>
    <row r="2" spans="1:10" ht="23.25">
      <c r="A2" s="54" t="s">
        <v>0</v>
      </c>
      <c r="B2" s="54"/>
      <c r="C2" s="54"/>
      <c r="D2" s="54"/>
      <c r="E2" s="54"/>
      <c r="F2" s="54"/>
      <c r="G2" s="54"/>
      <c r="H2" s="54"/>
    </row>
    <row r="3" spans="1:10" ht="45" customHeight="1">
      <c r="A3" s="10" t="s">
        <v>49</v>
      </c>
      <c r="B3" s="10" t="s">
        <v>45</v>
      </c>
      <c r="C3" s="10" t="s">
        <v>24</v>
      </c>
      <c r="D3" s="10" t="s">
        <v>1</v>
      </c>
      <c r="E3" s="10" t="s">
        <v>2</v>
      </c>
      <c r="F3" s="10" t="s">
        <v>3</v>
      </c>
      <c r="G3" s="10" t="s">
        <v>4</v>
      </c>
      <c r="H3" s="11" t="s">
        <v>23</v>
      </c>
      <c r="I3" s="10" t="s">
        <v>25</v>
      </c>
      <c r="J3" s="10" t="s">
        <v>26</v>
      </c>
    </row>
    <row r="4" spans="1:10">
      <c r="A4" s="22">
        <v>424</v>
      </c>
      <c r="B4" s="22" t="s">
        <v>5</v>
      </c>
      <c r="C4" s="22">
        <f>1593.4+180</f>
        <v>1773.4</v>
      </c>
      <c r="D4" s="22">
        <f>125-6.89</f>
        <v>118.11</v>
      </c>
      <c r="E4" s="22">
        <v>0</v>
      </c>
      <c r="F4" s="22">
        <v>13.06</v>
      </c>
      <c r="G4" s="22">
        <f>Tabla14[[#This Row],[VENTAS]]+Tabla14[[#This Row],[FISICO]]-Tabla14[[#This Row],[SISTEMA]]</f>
        <v>-105.05</v>
      </c>
      <c r="H4" s="24">
        <f>Tabla14[[#This Row],[DIFERENCIA]]/Tabla14[[#This Row],[ULT. RECEPCION]]</f>
        <v>-5.9236494868613959E-2</v>
      </c>
      <c r="I4" s="29">
        <v>2.85</v>
      </c>
      <c r="J4" s="29">
        <f>Tabla14[[#This Row],[COSTO]]*Tabla14[[#This Row],[DIFERENCIA]]</f>
        <v>-299.39249999999998</v>
      </c>
    </row>
    <row r="5" spans="1:10">
      <c r="A5" s="22">
        <v>1947</v>
      </c>
      <c r="B5" s="22" t="s">
        <v>6</v>
      </c>
      <c r="C5" s="22">
        <f>364.6+267.74</f>
        <v>632.34</v>
      </c>
      <c r="D5" s="22">
        <v>114.36</v>
      </c>
      <c r="E5" s="22">
        <f>91-5.2</f>
        <v>85.8</v>
      </c>
      <c r="F5" s="22">
        <v>13.16</v>
      </c>
      <c r="G5" s="22">
        <f>Tabla14[[#This Row],[VENTAS]]+Tabla14[[#This Row],[FISICO]]-Tabla14[[#This Row],[SISTEMA]]</f>
        <v>-15.400000000000006</v>
      </c>
      <c r="H5" s="24">
        <f>Tabla14[[#This Row],[DIFERENCIA]]/Tabla14[[#This Row],[ULT. RECEPCION]]</f>
        <v>-2.4353986779264328E-2</v>
      </c>
      <c r="I5" s="29">
        <v>1.25</v>
      </c>
      <c r="J5" s="29">
        <f>Tabla14[[#This Row],[COSTO]]*Tabla14[[#This Row],[DIFERENCIA]]</f>
        <v>-19.250000000000007</v>
      </c>
    </row>
    <row r="6" spans="1:10">
      <c r="A6" s="22">
        <v>1937</v>
      </c>
      <c r="B6" s="30" t="s">
        <v>7</v>
      </c>
      <c r="C6" s="22">
        <f>335+1115.2</f>
        <v>1450.2</v>
      </c>
      <c r="D6" s="22">
        <v>318.82</v>
      </c>
      <c r="E6" s="22">
        <v>123.8</v>
      </c>
      <c r="F6" s="22">
        <v>27.63</v>
      </c>
      <c r="G6" s="22">
        <f>Tabla14[[#This Row],[VENTAS]]+Tabla14[[#This Row],[FISICO]]-Tabla14[[#This Row],[SISTEMA]]</f>
        <v>-167.39</v>
      </c>
      <c r="H6" s="24">
        <f>Tabla14[[#This Row],[DIFERENCIA]]/Tabla14[[#This Row],[ULT. RECEPCION]]</f>
        <v>-0.11542545855744034</v>
      </c>
      <c r="I6" s="29">
        <v>5.08</v>
      </c>
      <c r="J6" s="29">
        <f>Tabla14[[#This Row],[COSTO]]*Tabla14[[#This Row],[DIFERENCIA]]</f>
        <v>-850.34119999999996</v>
      </c>
    </row>
    <row r="7" spans="1:10">
      <c r="A7" s="22">
        <v>1887</v>
      </c>
      <c r="B7" s="30" t="s">
        <v>8</v>
      </c>
      <c r="C7" s="22">
        <f>139.6+107.47</f>
        <v>247.07</v>
      </c>
      <c r="D7" s="22">
        <v>64.52</v>
      </c>
      <c r="E7" s="22">
        <f>26.2-2.6+8.34</f>
        <v>31.939999999999998</v>
      </c>
      <c r="F7" s="22">
        <v>3.74</v>
      </c>
      <c r="G7" s="22">
        <f>Tabla14[[#This Row],[VENTAS]]+Tabla14[[#This Row],[FISICO]]-Tabla14[[#This Row],[SISTEMA]]</f>
        <v>-28.839999999999996</v>
      </c>
      <c r="H7" s="24">
        <f>Tabla14[[#This Row],[DIFERENCIA]]/Tabla14[[#This Row],[ULT. RECEPCION]]</f>
        <v>-0.11672805277856477</v>
      </c>
      <c r="I7" s="29">
        <v>1.2</v>
      </c>
      <c r="J7" s="29">
        <f>Tabla14[[#This Row],[COSTO]]*Tabla14[[#This Row],[DIFERENCIA]]</f>
        <v>-34.607999999999997</v>
      </c>
    </row>
    <row r="8" spans="1:10">
      <c r="A8" s="22">
        <v>5148</v>
      </c>
      <c r="B8" s="22" t="s">
        <v>9</v>
      </c>
      <c r="C8" s="22">
        <f>275+2084.1</f>
        <v>2359.1</v>
      </c>
      <c r="D8" s="22">
        <v>507.84</v>
      </c>
      <c r="E8" s="22">
        <v>279.41000000000003</v>
      </c>
      <c r="F8" s="22">
        <v>44.73</v>
      </c>
      <c r="G8" s="22">
        <f>Tabla14[[#This Row],[VENTAS]]+Tabla14[[#This Row],[FISICO]]-Tabla14[[#This Row],[SISTEMA]]</f>
        <v>-183.69999999999993</v>
      </c>
      <c r="H8" s="24">
        <f>Tabla14[[#This Row],[DIFERENCIA]]/Tabla14[[#This Row],[ULT. RECEPCION]]</f>
        <v>-7.7868678733415256E-2</v>
      </c>
      <c r="I8" s="29">
        <v>2.61</v>
      </c>
      <c r="J8" s="29">
        <f>Tabla14[[#This Row],[COSTO]]*Tabla14[[#This Row],[DIFERENCIA]]</f>
        <v>-479.45699999999982</v>
      </c>
    </row>
    <row r="9" spans="1:10">
      <c r="A9" s="22">
        <v>1986</v>
      </c>
      <c r="B9" s="30" t="s">
        <v>10</v>
      </c>
      <c r="C9" s="22">
        <f>308+128.18</f>
        <v>436.18</v>
      </c>
      <c r="D9" s="22">
        <v>147.49</v>
      </c>
      <c r="E9" s="22">
        <f>128-11+12.8-1.6+8.82</f>
        <v>137.02000000000001</v>
      </c>
      <c r="F9" s="22">
        <v>5.35</v>
      </c>
      <c r="G9" s="22">
        <f>Tabla14[[#This Row],[VENTAS]]+Tabla14[[#This Row],[FISICO]]-Tabla14[[#This Row],[SISTEMA]]</f>
        <v>-5.1200000000000045</v>
      </c>
      <c r="H9" s="24">
        <f>Tabla14[[#This Row],[DIFERENCIA]]/Tabla14[[#This Row],[ULT. RECEPCION]]</f>
        <v>-1.1738273189967455E-2</v>
      </c>
      <c r="I9" s="29">
        <v>1.2</v>
      </c>
      <c r="J9" s="29">
        <f>Tabla14[[#This Row],[COSTO]]*Tabla14[[#This Row],[DIFERENCIA]]</f>
        <v>-6.1440000000000055</v>
      </c>
    </row>
    <row r="10" spans="1:10">
      <c r="A10" s="22">
        <v>3120</v>
      </c>
      <c r="B10" s="22" t="s">
        <v>11</v>
      </c>
      <c r="C10" s="22">
        <f>3060.8+1428.77</f>
        <v>4489.57</v>
      </c>
      <c r="D10" s="22">
        <f>785.69-111.51</f>
        <v>674.18000000000006</v>
      </c>
      <c r="E10" s="22">
        <v>378.6</v>
      </c>
      <c r="F10" s="22">
        <v>65.63</v>
      </c>
      <c r="G10" s="22">
        <f>Tabla14[[#This Row],[VENTAS]]+Tabla14[[#This Row],[FISICO]]-Tabla14[[#This Row],[SISTEMA]]</f>
        <v>-229.95000000000005</v>
      </c>
      <c r="H10" s="24">
        <f>Tabla14[[#This Row],[DIFERENCIA]]/Tabla14[[#This Row],[ULT. RECEPCION]]</f>
        <v>-5.1218713596179605E-2</v>
      </c>
      <c r="I10" s="29">
        <v>2.6</v>
      </c>
      <c r="J10" s="29">
        <f>Tabla14[[#This Row],[COSTO]]*Tabla14[[#This Row],[DIFERENCIA]]</f>
        <v>-597.87000000000012</v>
      </c>
    </row>
    <row r="11" spans="1:10">
      <c r="A11" s="22">
        <v>1910</v>
      </c>
      <c r="B11" s="22" t="s">
        <v>12</v>
      </c>
      <c r="C11" s="23">
        <f>141.4+101.8</f>
        <v>243.2</v>
      </c>
      <c r="D11" s="22">
        <v>78.91</v>
      </c>
      <c r="E11" s="22">
        <v>75.599999999999994</v>
      </c>
      <c r="F11" s="22">
        <v>7.32</v>
      </c>
      <c r="G11" s="22">
        <f>Tabla14[[#This Row],[VENTAS]]+Tabla14[[#This Row],[FISICO]]-Tabla14[[#This Row],[SISTEMA]]</f>
        <v>4.0099999999999909</v>
      </c>
      <c r="H11" s="24">
        <f>Tabla14[[#This Row],[DIFERENCIA]]/Tabla14[[#This Row],[ULT. RECEPCION]]</f>
        <v>1.6488486842105226E-2</v>
      </c>
      <c r="I11" s="29">
        <v>4.55</v>
      </c>
      <c r="J11" s="29">
        <f>Tabla14[[#This Row],[COSTO]]*Tabla14[[#This Row],[DIFERENCIA]]</f>
        <v>18.245499999999957</v>
      </c>
    </row>
    <row r="12" spans="1:10">
      <c r="A12" s="22">
        <v>15587</v>
      </c>
      <c r="B12" s="22" t="s">
        <v>13</v>
      </c>
      <c r="C12" s="23">
        <f>43.8+39.6</f>
        <v>83.4</v>
      </c>
      <c r="D12" s="22">
        <v>3.66</v>
      </c>
      <c r="E12" s="22">
        <v>3.8</v>
      </c>
      <c r="F12" s="22">
        <v>0.89</v>
      </c>
      <c r="G12" s="22">
        <f>Tabla14[[#This Row],[VENTAS]]+Tabla14[[#This Row],[FISICO]]-Tabla14[[#This Row],[SISTEMA]]</f>
        <v>1.0299999999999994</v>
      </c>
      <c r="H12" s="24">
        <f>Tabla14[[#This Row],[DIFERENCIA]]/Tabla14[[#This Row],[ULT. RECEPCION]]</f>
        <v>1.235011990407673E-2</v>
      </c>
      <c r="I12" s="29">
        <v>4.21</v>
      </c>
      <c r="J12" s="29">
        <f>Tabla14[[#This Row],[COSTO]]*Tabla14[[#This Row],[DIFERENCIA]]</f>
        <v>4.3362999999999969</v>
      </c>
    </row>
    <row r="13" spans="1:10">
      <c r="A13" s="22">
        <v>1906</v>
      </c>
      <c r="B13" s="22" t="s">
        <v>14</v>
      </c>
      <c r="C13" s="23">
        <f>132+181.8</f>
        <v>313.8</v>
      </c>
      <c r="D13" s="22">
        <v>74.28</v>
      </c>
      <c r="E13" s="22">
        <v>74.599999999999994</v>
      </c>
      <c r="F13" s="22">
        <v>7.84</v>
      </c>
      <c r="G13" s="22">
        <f>Tabla14[[#This Row],[VENTAS]]+Tabla14[[#This Row],[FISICO]]-Tabla14[[#This Row],[SISTEMA]]</f>
        <v>8.1599999999999966</v>
      </c>
      <c r="H13" s="24">
        <f>Tabla14[[#This Row],[DIFERENCIA]]/Tabla14[[#This Row],[ULT. RECEPCION]]</f>
        <v>2.6003824091778191E-2</v>
      </c>
      <c r="I13" s="29">
        <v>4.97</v>
      </c>
      <c r="J13" s="29">
        <f>Tabla14[[#This Row],[COSTO]]*Tabla14[[#This Row],[DIFERENCIA]]</f>
        <v>40.555199999999978</v>
      </c>
    </row>
    <row r="14" spans="1:10">
      <c r="A14" s="31">
        <v>1893</v>
      </c>
      <c r="B14" s="32" t="s">
        <v>36</v>
      </c>
      <c r="C14" s="33">
        <f>319.02+8.9</f>
        <v>327.91999999999996</v>
      </c>
      <c r="D14" s="32">
        <f>6.89+23.24</f>
        <v>30.13</v>
      </c>
      <c r="E14" s="32">
        <v>6.29</v>
      </c>
      <c r="F14" s="32">
        <v>23.84</v>
      </c>
      <c r="G14" s="22">
        <f>Tabla14[[#This Row],[VENTAS]]+Tabla14[[#This Row],[FISICO]]-Tabla14[[#This Row],[SISTEMA]]</f>
        <v>0</v>
      </c>
      <c r="H14" s="24">
        <f>Tabla14[[#This Row],[DIFERENCIA]]/Tabla14[[#This Row],[ULT. RECEPCION]]</f>
        <v>0</v>
      </c>
      <c r="I14" s="34">
        <v>2.85</v>
      </c>
      <c r="J14" s="29">
        <f>Tabla14[[#This Row],[COSTO]]*Tabla14[[#This Row],[DIFERENCIA]]</f>
        <v>0</v>
      </c>
    </row>
    <row r="15" spans="1:10">
      <c r="A15" s="31">
        <v>1889</v>
      </c>
      <c r="B15" s="32" t="s">
        <v>37</v>
      </c>
      <c r="C15" s="33">
        <f>195.67+11.035</f>
        <v>206.70499999999998</v>
      </c>
      <c r="D15" s="32">
        <v>44.9</v>
      </c>
      <c r="E15" s="32">
        <v>12.12</v>
      </c>
      <c r="F15" s="32">
        <v>14.76</v>
      </c>
      <c r="G15" s="22">
        <f>Tabla14[[#This Row],[VENTAS]]+Tabla14[[#This Row],[FISICO]]-Tabla14[[#This Row],[SISTEMA]]</f>
        <v>-18.02</v>
      </c>
      <c r="H15" s="24">
        <f>Tabla14[[#This Row],[DIFERENCIA]]/Tabla14[[#This Row],[ULT. RECEPCION]]</f>
        <v>-8.7177378389492272E-2</v>
      </c>
      <c r="I15" s="34">
        <v>2.71</v>
      </c>
      <c r="J15" s="29">
        <f>Tabla14[[#This Row],[COSTO]]*Tabla14[[#This Row],[DIFERENCIA]]</f>
        <v>-48.834199999999996</v>
      </c>
    </row>
    <row r="16" spans="1:10" ht="15.75" thickBot="1">
      <c r="A16" s="22">
        <v>88</v>
      </c>
      <c r="B16" s="22" t="s">
        <v>31</v>
      </c>
      <c r="C16" s="23">
        <f>17.305+838.46</f>
        <v>855.76499999999999</v>
      </c>
      <c r="D16" s="22">
        <f>111.51+18.93</f>
        <v>130.44</v>
      </c>
      <c r="E16" s="22">
        <f>71-4.4+1.1+25.03-1.57</f>
        <v>91.16</v>
      </c>
      <c r="F16" s="22">
        <v>39.28</v>
      </c>
      <c r="G16" s="22">
        <f>Tabla14[[#This Row],[VENTAS]]+Tabla14[[#This Row],[FISICO]]-Tabla14[[#This Row],[SISTEMA]]</f>
        <v>0</v>
      </c>
      <c r="H16" s="24">
        <f>Tabla14[[#This Row],[DIFERENCIA]]/Tabla14[[#This Row],[ULT. RECEPCION]]</f>
        <v>0</v>
      </c>
      <c r="I16" s="35">
        <v>2.6</v>
      </c>
      <c r="J16" s="35">
        <f>Tabla14[[#This Row],[COSTO]]*Tabla14[[#This Row],[DIFERENCIA]]</f>
        <v>0</v>
      </c>
    </row>
    <row r="17" spans="1:10" ht="16.5" thickBot="1">
      <c r="A17" s="36"/>
      <c r="B17" s="37"/>
      <c r="C17" s="38"/>
      <c r="D17" s="37"/>
      <c r="E17" s="37"/>
      <c r="F17" s="37"/>
      <c r="G17" s="37"/>
      <c r="H17" s="39"/>
      <c r="I17" s="40" t="s">
        <v>47</v>
      </c>
      <c r="J17" s="41">
        <f>J13+J12+J11</f>
        <v>63.136999999999929</v>
      </c>
    </row>
  </sheetData>
  <mergeCells count="2">
    <mergeCell ref="A1:H1"/>
    <mergeCell ref="A2:H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13" sqref="E13"/>
    </sheetView>
  </sheetViews>
  <sheetFormatPr baseColWidth="10" defaultRowHeight="15"/>
  <cols>
    <col min="2" max="2" width="30.7109375" customWidth="1"/>
    <col min="3" max="3" width="12.28515625" customWidth="1"/>
  </cols>
  <sheetData>
    <row r="1" spans="1:10" ht="15.75" customHeight="1">
      <c r="B1" s="52" t="s">
        <v>46</v>
      </c>
      <c r="C1" s="52"/>
      <c r="D1" s="52"/>
      <c r="E1" s="52"/>
      <c r="F1" s="52"/>
      <c r="G1" s="52"/>
      <c r="H1" s="52"/>
      <c r="I1" s="52"/>
    </row>
    <row r="3" spans="1:10" ht="23.25">
      <c r="A3" s="55" t="s">
        <v>29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51.75" customHeight="1">
      <c r="A4" s="12" t="s">
        <v>44</v>
      </c>
      <c r="B4" s="12" t="s">
        <v>45</v>
      </c>
      <c r="C4" s="12" t="s">
        <v>50</v>
      </c>
      <c r="D4" s="12" t="s">
        <v>1</v>
      </c>
      <c r="E4" s="12" t="s">
        <v>2</v>
      </c>
      <c r="F4" s="12" t="s">
        <v>3</v>
      </c>
      <c r="G4" s="12" t="s">
        <v>4</v>
      </c>
      <c r="H4" s="13" t="s">
        <v>23</v>
      </c>
      <c r="I4" s="12" t="s">
        <v>25</v>
      </c>
      <c r="J4" s="12" t="s">
        <v>26</v>
      </c>
    </row>
    <row r="5" spans="1:10">
      <c r="A5" s="22">
        <v>1930</v>
      </c>
      <c r="B5" s="22" t="s">
        <v>30</v>
      </c>
      <c r="C5" s="22">
        <v>29.9</v>
      </c>
      <c r="D5" s="22">
        <v>17.329999999999998</v>
      </c>
      <c r="E5" s="22">
        <f>21.2-2.2</f>
        <v>19</v>
      </c>
      <c r="F5" s="22">
        <v>0</v>
      </c>
      <c r="G5" s="23">
        <f>F5+E5-D5</f>
        <v>1.6700000000000017</v>
      </c>
      <c r="H5" s="24">
        <f>G5/C5</f>
        <v>5.585284280936461E-2</v>
      </c>
      <c r="I5" s="25">
        <v>4</v>
      </c>
      <c r="J5" s="25">
        <f>G5*I5</f>
        <v>6.6800000000000068</v>
      </c>
    </row>
    <row r="6" spans="1:10">
      <c r="A6" s="22">
        <v>1902</v>
      </c>
      <c r="B6" s="22" t="s">
        <v>32</v>
      </c>
      <c r="C6" s="22">
        <f>84.4+45.8</f>
        <v>130.19999999999999</v>
      </c>
      <c r="D6" s="22">
        <v>28.06</v>
      </c>
      <c r="E6" s="22">
        <v>51.015000000000001</v>
      </c>
      <c r="F6" s="22">
        <v>6.37</v>
      </c>
      <c r="G6" s="23">
        <f t="shared" ref="G6:G14" si="0">F6+E6-D6</f>
        <v>29.324999999999999</v>
      </c>
      <c r="H6" s="24">
        <f t="shared" ref="H6:H14" si="1">G6/C6</f>
        <v>0.22523041474654379</v>
      </c>
      <c r="I6" s="25">
        <v>1.32</v>
      </c>
      <c r="J6" s="25">
        <f t="shared" ref="J6:J14" si="2">G6*I6</f>
        <v>38.709000000000003</v>
      </c>
    </row>
    <row r="7" spans="1:10">
      <c r="A7" s="22">
        <v>2013</v>
      </c>
      <c r="B7" s="22" t="s">
        <v>33</v>
      </c>
      <c r="C7" s="22">
        <f>236.2+45.6</f>
        <v>281.8</v>
      </c>
      <c r="D7" s="22">
        <v>115.87</v>
      </c>
      <c r="E7" s="22">
        <v>106.15</v>
      </c>
      <c r="F7" s="22">
        <v>4.7300000000000004</v>
      </c>
      <c r="G7" s="23">
        <f t="shared" si="0"/>
        <v>-4.9899999999999949</v>
      </c>
      <c r="H7" s="24">
        <f t="shared" si="1"/>
        <v>-1.7707594038325034E-2</v>
      </c>
      <c r="I7" s="25">
        <v>6.1</v>
      </c>
      <c r="J7" s="25">
        <f t="shared" si="2"/>
        <v>-30.438999999999968</v>
      </c>
    </row>
    <row r="8" spans="1:10">
      <c r="A8" s="22">
        <v>1941</v>
      </c>
      <c r="B8" s="22" t="s">
        <v>34</v>
      </c>
      <c r="C8" s="22">
        <v>13.244999999999999</v>
      </c>
      <c r="D8" s="22">
        <v>-0.73</v>
      </c>
      <c r="E8" s="22">
        <v>0.45</v>
      </c>
      <c r="F8" s="22">
        <v>0</v>
      </c>
      <c r="G8" s="23">
        <f t="shared" si="0"/>
        <v>1.18</v>
      </c>
      <c r="H8" s="24">
        <f t="shared" si="1"/>
        <v>8.909022272555682E-2</v>
      </c>
      <c r="I8" s="25">
        <v>5.5</v>
      </c>
      <c r="J8" s="25">
        <f t="shared" si="2"/>
        <v>6.4899999999999993</v>
      </c>
    </row>
    <row r="9" spans="1:10">
      <c r="A9" s="22">
        <v>3509</v>
      </c>
      <c r="B9" s="22" t="s">
        <v>35</v>
      </c>
      <c r="C9" s="22">
        <f>835.8+205</f>
        <v>1040.8</v>
      </c>
      <c r="D9" s="22">
        <v>200.84</v>
      </c>
      <c r="E9" s="22">
        <v>135.91499999999999</v>
      </c>
      <c r="F9" s="22">
        <v>0</v>
      </c>
      <c r="G9" s="23">
        <f t="shared" si="0"/>
        <v>-64.925000000000011</v>
      </c>
      <c r="H9" s="24">
        <f t="shared" si="1"/>
        <v>-6.2379900076863962E-2</v>
      </c>
      <c r="I9" s="25">
        <v>5.08</v>
      </c>
      <c r="J9" s="25">
        <f t="shared" si="2"/>
        <v>-329.81900000000007</v>
      </c>
    </row>
    <row r="10" spans="1:10">
      <c r="A10" s="26">
        <v>1904</v>
      </c>
      <c r="B10" s="22" t="s">
        <v>38</v>
      </c>
      <c r="C10" s="23">
        <f>162+40.83</f>
        <v>202.82999999999998</v>
      </c>
      <c r="D10" s="22">
        <v>43.67</v>
      </c>
      <c r="E10" s="22">
        <v>3.0550000000000002</v>
      </c>
      <c r="F10" s="22">
        <v>0</v>
      </c>
      <c r="G10" s="23">
        <f t="shared" si="0"/>
        <v>-40.615000000000002</v>
      </c>
      <c r="H10" s="24">
        <f t="shared" si="1"/>
        <v>-0.20024158162007596</v>
      </c>
      <c r="I10" s="25">
        <v>3.05</v>
      </c>
      <c r="J10" s="25">
        <f t="shared" si="2"/>
        <v>-123.87575</v>
      </c>
    </row>
    <row r="11" spans="1:10">
      <c r="A11" s="22">
        <v>1931</v>
      </c>
      <c r="B11" s="22" t="s">
        <v>39</v>
      </c>
      <c r="C11" s="22">
        <f>505+18.95</f>
        <v>523.95000000000005</v>
      </c>
      <c r="D11" s="22">
        <v>222.02</v>
      </c>
      <c r="E11" s="22">
        <v>160.4</v>
      </c>
      <c r="F11" s="22">
        <v>11.47</v>
      </c>
      <c r="G11" s="23">
        <f t="shared" si="0"/>
        <v>-50.150000000000006</v>
      </c>
      <c r="H11" s="24">
        <f t="shared" si="1"/>
        <v>-9.5715240003817162E-2</v>
      </c>
      <c r="I11" s="25">
        <v>5.9</v>
      </c>
      <c r="J11" s="25">
        <f t="shared" si="2"/>
        <v>-295.88500000000005</v>
      </c>
    </row>
    <row r="12" spans="1:10">
      <c r="A12" s="22">
        <v>1969</v>
      </c>
      <c r="B12" s="22" t="s">
        <v>41</v>
      </c>
      <c r="C12" s="27">
        <v>225</v>
      </c>
      <c r="D12" s="27">
        <v>222.79</v>
      </c>
      <c r="E12" s="27">
        <f>200+35.095</f>
        <v>235.095</v>
      </c>
      <c r="F12" s="27">
        <v>0</v>
      </c>
      <c r="G12" s="23">
        <f t="shared" si="0"/>
        <v>12.305000000000007</v>
      </c>
      <c r="H12" s="24">
        <f t="shared" si="1"/>
        <v>5.4688888888888919E-2</v>
      </c>
      <c r="I12" s="25">
        <v>2.5</v>
      </c>
      <c r="J12" s="25">
        <f t="shared" si="2"/>
        <v>30.762500000000017</v>
      </c>
    </row>
    <row r="13" spans="1:10">
      <c r="A13" s="27">
        <v>1987</v>
      </c>
      <c r="B13" s="27" t="s">
        <v>42</v>
      </c>
      <c r="C13" s="27">
        <v>1226.0999999999999</v>
      </c>
      <c r="D13" s="27">
        <v>207.67</v>
      </c>
      <c r="E13" s="27">
        <v>180.06</v>
      </c>
      <c r="F13" s="27">
        <v>30.52</v>
      </c>
      <c r="G13" s="23">
        <f t="shared" si="0"/>
        <v>2.910000000000025</v>
      </c>
      <c r="H13" s="24">
        <f t="shared" si="1"/>
        <v>2.3733790066063332E-3</v>
      </c>
      <c r="I13" s="25">
        <v>2.9</v>
      </c>
      <c r="J13" s="25">
        <f t="shared" si="2"/>
        <v>8.4390000000000729</v>
      </c>
    </row>
    <row r="14" spans="1:10" ht="15.75" thickBot="1">
      <c r="A14" s="27">
        <v>1789</v>
      </c>
      <c r="B14" s="27" t="s">
        <v>43</v>
      </c>
      <c r="C14" s="27">
        <v>4.32</v>
      </c>
      <c r="D14" s="27">
        <v>5.0599999999999996</v>
      </c>
      <c r="E14" s="27">
        <v>4.32</v>
      </c>
      <c r="F14" s="27">
        <v>0</v>
      </c>
      <c r="G14" s="23">
        <f t="shared" si="0"/>
        <v>-0.73999999999999932</v>
      </c>
      <c r="H14" s="24">
        <f t="shared" si="1"/>
        <v>-0.17129629629629614</v>
      </c>
      <c r="I14" s="28">
        <v>7.8</v>
      </c>
      <c r="J14" s="28">
        <f t="shared" si="2"/>
        <v>-5.7719999999999949</v>
      </c>
    </row>
    <row r="15" spans="1:10" ht="16.5" thickBot="1">
      <c r="I15" s="20" t="s">
        <v>48</v>
      </c>
      <c r="J15" s="21">
        <f>J14+J11+J10+J9+J7</f>
        <v>-785.79075</v>
      </c>
    </row>
    <row r="16" spans="1:10" ht="15.75" thickBot="1">
      <c r="I16" s="18" t="s">
        <v>48</v>
      </c>
      <c r="J16" s="19">
        <f>J13+J12+J8+J6+J5</f>
        <v>91.0805000000001</v>
      </c>
    </row>
  </sheetData>
  <autoFilter ref="A4:J16"/>
  <mergeCells count="2">
    <mergeCell ref="A3:J3"/>
    <mergeCell ref="B1:I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</vt:lpstr>
      <vt:lpstr>pollo</vt:lpstr>
      <vt:lpstr>cochino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INVENTARIO-5</cp:lastModifiedBy>
  <cp:lastPrinted>2022-03-14T15:36:26Z</cp:lastPrinted>
  <dcterms:created xsi:type="dcterms:W3CDTF">2021-08-30T12:50:16Z</dcterms:created>
  <dcterms:modified xsi:type="dcterms:W3CDTF">2022-03-21T15:37:05Z</dcterms:modified>
</cp:coreProperties>
</file>