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5\Desktop\"/>
    </mc:Choice>
  </mc:AlternateContent>
  <bookViews>
    <workbookView xWindow="0" yWindow="0" windowWidth="12555" windowHeight="5100"/>
  </bookViews>
  <sheets>
    <sheet name="queso" sheetId="1" r:id="rId1"/>
    <sheet name="pollo" sheetId="2" r:id="rId2"/>
    <sheet name="cochino" sheetId="3" r:id="rId3"/>
  </sheets>
  <definedNames>
    <definedName name="_xlnm._FilterDatabase" localSheetId="2" hidden="1">cochino!$A$4:$J$15</definedName>
    <definedName name="_xlnm._FilterDatabase" localSheetId="0" hidden="1">queso!$A$4:$J$15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3" l="1"/>
  <c r="D9" i="3"/>
  <c r="E12" i="3"/>
  <c r="D12" i="3"/>
  <c r="C13" i="3"/>
  <c r="C8" i="3" l="1"/>
  <c r="C5" i="3"/>
  <c r="G10" i="3" l="1"/>
  <c r="H10" i="3" s="1"/>
  <c r="G11" i="3"/>
  <c r="H11" i="3" s="1"/>
  <c r="D14" i="2"/>
  <c r="C15" i="2"/>
  <c r="C16" i="2"/>
  <c r="C14" i="2"/>
  <c r="C13" i="2"/>
  <c r="C12" i="2"/>
  <c r="C11" i="2"/>
  <c r="C10" i="2"/>
  <c r="C4" i="2"/>
  <c r="C5" i="2"/>
  <c r="C6" i="2"/>
  <c r="C7" i="2"/>
  <c r="C8" i="2"/>
  <c r="C9" i="2"/>
  <c r="J14" i="1"/>
  <c r="G12" i="1"/>
  <c r="D11" i="1"/>
  <c r="C8" i="1"/>
  <c r="C6" i="1"/>
  <c r="C5" i="1"/>
  <c r="J10" i="3" l="1"/>
  <c r="J11" i="3"/>
  <c r="J12" i="1"/>
  <c r="H12" i="1"/>
  <c r="G14" i="3" l="1"/>
  <c r="J14" i="3" s="1"/>
  <c r="G13" i="3"/>
  <c r="J13" i="3" s="1"/>
  <c r="G12" i="3"/>
  <c r="H12" i="3" s="1"/>
  <c r="G9" i="3"/>
  <c r="J9" i="3" s="1"/>
  <c r="G8" i="3"/>
  <c r="J8" i="3" s="1"/>
  <c r="G7" i="3"/>
  <c r="J7" i="3" s="1"/>
  <c r="G6" i="3"/>
  <c r="J6" i="3" s="1"/>
  <c r="G5" i="3"/>
  <c r="J5" i="3" s="1"/>
  <c r="G16" i="2"/>
  <c r="J16" i="2" s="1"/>
  <c r="G15" i="2"/>
  <c r="G14" i="2"/>
  <c r="G13" i="2"/>
  <c r="J13" i="2" s="1"/>
  <c r="G12" i="2"/>
  <c r="J12" i="2" s="1"/>
  <c r="G11" i="2"/>
  <c r="G10" i="2"/>
  <c r="G9" i="2"/>
  <c r="G8" i="2"/>
  <c r="J8" i="2" s="1"/>
  <c r="G7" i="2"/>
  <c r="G6" i="2"/>
  <c r="J6" i="2" s="1"/>
  <c r="G5" i="2"/>
  <c r="G4" i="2"/>
  <c r="H6" i="2" l="1"/>
  <c r="J12" i="3"/>
  <c r="H8" i="3"/>
  <c r="H9" i="3"/>
  <c r="H7" i="3"/>
  <c r="J7" i="2"/>
  <c r="H7" i="2"/>
  <c r="H8" i="2"/>
  <c r="H15" i="2"/>
  <c r="J15" i="2"/>
  <c r="H5" i="3"/>
  <c r="H6" i="3"/>
  <c r="H14" i="3"/>
  <c r="H13" i="3"/>
  <c r="H5" i="2"/>
  <c r="J10" i="2"/>
  <c r="H10" i="2"/>
  <c r="H14" i="2"/>
  <c r="J14" i="2"/>
  <c r="H4" i="2"/>
  <c r="H9" i="2"/>
  <c r="H16" i="2"/>
  <c r="H11" i="2"/>
  <c r="H12" i="2"/>
  <c r="H13" i="2"/>
  <c r="J17" i="2" l="1"/>
  <c r="G5" i="1"/>
  <c r="J5" i="1" s="1"/>
  <c r="G6" i="1"/>
  <c r="J6" i="1" s="1"/>
  <c r="G7" i="1"/>
  <c r="J7" i="1" s="1"/>
  <c r="G8" i="1"/>
  <c r="G9" i="1"/>
  <c r="J9" i="1" s="1"/>
  <c r="G10" i="1"/>
  <c r="J10" i="1" s="1"/>
  <c r="G11" i="1"/>
  <c r="J11" i="1" s="1"/>
  <c r="G13" i="1"/>
  <c r="J13" i="1" s="1"/>
  <c r="H6" i="1" l="1"/>
  <c r="H7" i="1"/>
  <c r="H8" i="1"/>
  <c r="H9" i="1"/>
  <c r="H10" i="1"/>
  <c r="H11" i="1"/>
  <c r="H13" i="1"/>
  <c r="H5" i="1" l="1"/>
</calcChain>
</file>

<file path=xl/sharedStrings.xml><?xml version="1.0" encoding="utf-8"?>
<sst xmlns="http://schemas.openxmlformats.org/spreadsheetml/2006/main" count="71" uniqueCount="50">
  <si>
    <t>POLLO</t>
  </si>
  <si>
    <t>SISTEMA</t>
  </si>
  <si>
    <t>FISICO</t>
  </si>
  <si>
    <t>VENTAS</t>
  </si>
  <si>
    <t>DIFERENCIA</t>
  </si>
  <si>
    <t>ALAS DE POLLO</t>
  </si>
  <si>
    <t>HIGADO</t>
  </si>
  <si>
    <t>MILANESA DE POLLO KG</t>
  </si>
  <si>
    <t>MOLLEJA DE POLLO KG</t>
  </si>
  <si>
    <t>MUSLO DE POLLO</t>
  </si>
  <si>
    <t>PATAS DE POLLO KG</t>
  </si>
  <si>
    <t>POLLO ENTERO.</t>
  </si>
  <si>
    <t>MILANESA EMPANIZADA KG</t>
  </si>
  <si>
    <t>HAM. POLLO LA GANJA KG</t>
  </si>
  <si>
    <t>NUGGETS</t>
  </si>
  <si>
    <t>QUESO</t>
  </si>
  <si>
    <t>QUESO DURO</t>
  </si>
  <si>
    <t>GUAYANES</t>
  </si>
  <si>
    <t>SANTA BARBARA</t>
  </si>
  <si>
    <t>RICOTTA SIN SAL KG</t>
  </si>
  <si>
    <t>CUAJADA KG</t>
  </si>
  <si>
    <t>REQUEZON KG</t>
  </si>
  <si>
    <t>%MERMA</t>
  </si>
  <si>
    <t>ULT. RECEPCION</t>
  </si>
  <si>
    <t>COSTO</t>
  </si>
  <si>
    <t>COSTO TOTAL</t>
  </si>
  <si>
    <t>MERIDEÑO</t>
  </si>
  <si>
    <t>COCHINO</t>
  </si>
  <si>
    <t>POLLO PICADO</t>
  </si>
  <si>
    <t>PATA DE COCHINO</t>
  </si>
  <si>
    <t xml:space="preserve">COSTILLA DE COCHINO </t>
  </si>
  <si>
    <t>PULPA DE COCHINO</t>
  </si>
  <si>
    <t>CHULETA AHUMADA</t>
  </si>
  <si>
    <t>ALAS PARRILLERAS</t>
  </si>
  <si>
    <t>MUSLO PARRILLERO</t>
  </si>
  <si>
    <t>CHULETA FRESCA</t>
  </si>
  <si>
    <t>PALMICON</t>
  </si>
  <si>
    <t xml:space="preserve">TOCINO </t>
  </si>
  <si>
    <t>CHORIZO MIXTO</t>
  </si>
  <si>
    <t>CHULETA DE PERNIL</t>
  </si>
  <si>
    <t>CODIGO</t>
  </si>
  <si>
    <t>DESCRIPCION</t>
  </si>
  <si>
    <t>TOTAL $</t>
  </si>
  <si>
    <t>TOTAL</t>
  </si>
  <si>
    <t>codigo</t>
  </si>
  <si>
    <t xml:space="preserve"> RECEPCION</t>
  </si>
  <si>
    <t>QUESO RALLADO</t>
  </si>
  <si>
    <t>CHULETA DE PALETA</t>
  </si>
  <si>
    <t>CHULETON</t>
  </si>
  <si>
    <t xml:space="preserve"> CUADRO DE PORCENTAJE DE MERMAS Y COSTOS AUTOMERCADO EXPRESS 2707 EN FECHA 14/03 AL 21/03/2022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</si>
</sst>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3" borderId="1" xfId="0" applyFont="1" applyFill="1" applyBorder="1"/>
    <xf numFmtId="0" fontId="3" fillId="3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10" fontId="3" fillId="3" borderId="1" xfId="1" applyNumberFormat="1" applyFont="1" applyFill="1" applyBorder="1"/>
    <xf numFmtId="164" fontId="0" fillId="3" borderId="1" xfId="0" applyNumberFormat="1" applyFill="1" applyBorder="1"/>
    <xf numFmtId="0" fontId="0" fillId="0" borderId="1" xfId="0" applyBorder="1"/>
    <xf numFmtId="0" fontId="3" fillId="3" borderId="3" xfId="0" applyNumberFormat="1" applyFont="1" applyFill="1" applyBorder="1"/>
    <xf numFmtId="10" fontId="3" fillId="3" borderId="3" xfId="1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164" fontId="0" fillId="3" borderId="6" xfId="0" applyNumberFormat="1" applyFill="1" applyBorder="1"/>
    <xf numFmtId="164" fontId="0" fillId="3" borderId="7" xfId="0" applyNumberFormat="1" applyFill="1" applyBorder="1"/>
    <xf numFmtId="0" fontId="4" fillId="0" borderId="8" xfId="0" applyFont="1" applyBorder="1"/>
    <xf numFmtId="164" fontId="4" fillId="0" borderId="9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10" fontId="3" fillId="3" borderId="3" xfId="1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3" fillId="3" borderId="10" xfId="0" applyNumberFormat="1" applyFont="1" applyFill="1" applyBorder="1"/>
    <xf numFmtId="10" fontId="3" fillId="3" borderId="10" xfId="1" applyNumberFormat="1" applyFont="1" applyFill="1" applyBorder="1"/>
    <xf numFmtId="164" fontId="0" fillId="3" borderId="10" xfId="0" applyNumberFormat="1" applyFill="1" applyBorder="1"/>
    <xf numFmtId="0" fontId="0" fillId="3" borderId="10" xfId="0" applyFill="1" applyBorder="1"/>
    <xf numFmtId="10" fontId="3" fillId="3" borderId="11" xfId="1" applyNumberFormat="1" applyFont="1" applyFill="1" applyBorder="1"/>
    <xf numFmtId="164" fontId="4" fillId="3" borderId="12" xfId="0" applyNumberFormat="1" applyFont="1" applyFill="1" applyBorder="1"/>
    <xf numFmtId="164" fontId="4" fillId="3" borderId="13" xfId="0" applyNumberFormat="1" applyFont="1" applyFill="1" applyBorder="1"/>
    <xf numFmtId="164" fontId="0" fillId="3" borderId="14" xfId="0" applyNumberForma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a14" displayName="Tabla14" ref="A3:J16" totalsRowShown="0" headerRowDxfId="11" dataDxfId="10">
  <autoFilter ref="A3:J16"/>
  <sortState ref="A6:F12">
    <sortCondition ref="B2:B8"/>
  </sortState>
  <tableColumns count="10">
    <tableColumn id="5" name="codigo" dataDxfId="9"/>
    <tableColumn id="7" name="DESCRIPCION" dataDxfId="8"/>
    <tableColumn id="2" name="ULT. RECEPCION" dataDxfId="7"/>
    <tableColumn id="8" name="SISTEMA" dataDxfId="6"/>
    <tableColumn id="9" name="FISICO" dataDxfId="5"/>
    <tableColumn id="10" name="VENTAS" dataDxfId="4"/>
    <tableColumn id="11" name="DIFERENCIA" dataDxfId="3">
      <calculatedColumnFormula>Tabla14[[#This Row],[VENTAS]]+Tabla14[[#This Row],[FISICO]]-Tabla14[[#This Row],[SISTEMA]]</calculatedColumnFormula>
    </tableColumn>
    <tableColumn id="13" name="%MERMA" dataDxfId="2">
      <calculatedColumnFormula>Tabla14[[#This Row],[DIFERENCIA]]/Tabla14[[#This Row],[ULT. RECEPCION]]</calculatedColumnFormula>
    </tableColumn>
    <tableColumn id="3" name="COSTO" dataDxfId="1"/>
    <tableColumn id="4" name="COSTO TOTAL" dataDxfId="0">
      <calculatedColumnFormula>Tabla14[[#This Row],[COSTO]]*Tabla14[[#This Row],[DIFERENCIA]]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" sqref="A2:H2"/>
    </sheetView>
  </sheetViews>
  <sheetFormatPr baseColWidth="10" defaultRowHeight="15"/>
  <cols>
    <col min="1" max="1" width="9.7109375" customWidth="1"/>
    <col min="2" max="2" width="26.7109375" customWidth="1"/>
    <col min="3" max="3" width="13.85546875" customWidth="1"/>
    <col min="4" max="4" width="12" customWidth="1"/>
    <col min="5" max="5" width="8.5703125" customWidth="1"/>
    <col min="6" max="6" width="9.5703125" customWidth="1"/>
    <col min="9" max="9" width="8.85546875" customWidth="1"/>
    <col min="10" max="10" width="12.140625" customWidth="1"/>
  </cols>
  <sheetData>
    <row r="1" spans="1:10" ht="13.5" customHeight="1">
      <c r="A1" s="48"/>
      <c r="B1" s="48"/>
      <c r="C1" s="48"/>
      <c r="D1" s="48"/>
      <c r="E1" s="48"/>
      <c r="F1" s="48"/>
      <c r="G1" s="48"/>
      <c r="H1" s="48"/>
    </row>
    <row r="2" spans="1:10" ht="39" customHeight="1">
      <c r="A2" s="49" t="s">
        <v>49</v>
      </c>
      <c r="B2" s="49"/>
      <c r="C2" s="49"/>
      <c r="D2" s="49"/>
      <c r="E2" s="49"/>
      <c r="F2" s="49"/>
      <c r="G2" s="49"/>
      <c r="H2" s="49"/>
    </row>
    <row r="3" spans="1:10" s="3" customFormat="1" ht="23.25">
      <c r="A3" s="50" t="s">
        <v>15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s="3" customFormat="1" ht="27.75" customHeight="1">
      <c r="A4" s="12" t="s">
        <v>40</v>
      </c>
      <c r="B4" s="12" t="s">
        <v>41</v>
      </c>
      <c r="C4" s="12" t="s">
        <v>23</v>
      </c>
      <c r="D4" s="12" t="s">
        <v>1</v>
      </c>
      <c r="E4" s="12" t="s">
        <v>2</v>
      </c>
      <c r="F4" s="12" t="s">
        <v>3</v>
      </c>
      <c r="G4" s="12" t="s">
        <v>4</v>
      </c>
      <c r="H4" s="13" t="s">
        <v>22</v>
      </c>
      <c r="I4" s="12" t="s">
        <v>24</v>
      </c>
      <c r="J4" s="12" t="s">
        <v>25</v>
      </c>
    </row>
    <row r="5" spans="1:10" s="3" customFormat="1">
      <c r="A5" s="1">
        <v>1786</v>
      </c>
      <c r="B5" s="1" t="s">
        <v>16</v>
      </c>
      <c r="C5" s="1">
        <f>1883.4+2624.6</f>
        <v>4508</v>
      </c>
      <c r="D5" s="1">
        <v>1806.82</v>
      </c>
      <c r="E5" s="1">
        <v>1626</v>
      </c>
      <c r="F5" s="1">
        <v>155.02500000000001</v>
      </c>
      <c r="G5" s="2">
        <f>F5+E5-D5</f>
        <v>-25.794999999999845</v>
      </c>
      <c r="H5" s="5">
        <f>G5/C5</f>
        <v>-5.7220496894409591E-3</v>
      </c>
      <c r="I5" s="6">
        <v>4</v>
      </c>
      <c r="J5" s="6">
        <f>I5*G5</f>
        <v>-103.17999999999938</v>
      </c>
    </row>
    <row r="6" spans="1:10" s="3" customFormat="1">
      <c r="A6" s="1">
        <v>1794</v>
      </c>
      <c r="B6" s="1" t="s">
        <v>17</v>
      </c>
      <c r="C6" s="1">
        <f>224+5.6</f>
        <v>229.6</v>
      </c>
      <c r="D6" s="1">
        <v>68.064999999999998</v>
      </c>
      <c r="E6" s="1">
        <v>33</v>
      </c>
      <c r="F6" s="1">
        <v>27.86</v>
      </c>
      <c r="G6" s="2">
        <f t="shared" ref="G6:G13" si="0">F6+E6-D6</f>
        <v>-7.2049999999999983</v>
      </c>
      <c r="H6" s="5">
        <f t="shared" ref="H6:H13" si="1">G6/C6</f>
        <v>-3.1380662020905919E-2</v>
      </c>
      <c r="I6" s="6">
        <v>3.4</v>
      </c>
      <c r="J6" s="6">
        <f t="shared" ref="J6:J13" si="2">I6*G6</f>
        <v>-24.496999999999993</v>
      </c>
    </row>
    <row r="7" spans="1:10" s="3" customFormat="1">
      <c r="A7" s="1">
        <v>1797</v>
      </c>
      <c r="B7" s="1" t="s">
        <v>18</v>
      </c>
      <c r="C7" s="1">
        <v>31</v>
      </c>
      <c r="D7" s="1">
        <v>23.92</v>
      </c>
      <c r="E7" s="1">
        <v>18.8</v>
      </c>
      <c r="F7" s="1">
        <v>3.8</v>
      </c>
      <c r="G7" s="2">
        <f t="shared" si="0"/>
        <v>-1.3200000000000003</v>
      </c>
      <c r="H7" s="5">
        <f t="shared" si="1"/>
        <v>-4.2580645161290329E-2</v>
      </c>
      <c r="I7" s="6">
        <v>9.5</v>
      </c>
      <c r="J7" s="6">
        <f t="shared" si="2"/>
        <v>-12.540000000000003</v>
      </c>
    </row>
    <row r="8" spans="1:10" s="3" customFormat="1">
      <c r="A8" s="39">
        <v>1793</v>
      </c>
      <c r="B8" s="39" t="s">
        <v>19</v>
      </c>
      <c r="C8" s="39">
        <f>24.5+20.4</f>
        <v>44.9</v>
      </c>
      <c r="D8" s="39">
        <v>3.02</v>
      </c>
      <c r="E8" s="39">
        <v>0</v>
      </c>
      <c r="F8" s="39">
        <v>5.63</v>
      </c>
      <c r="G8" s="40">
        <f t="shared" si="0"/>
        <v>2.61</v>
      </c>
      <c r="H8" s="41">
        <f t="shared" si="1"/>
        <v>5.812917594654788E-2</v>
      </c>
      <c r="I8" s="42"/>
      <c r="J8" s="42"/>
    </row>
    <row r="9" spans="1:10" s="3" customFormat="1">
      <c r="A9" s="1">
        <v>4931</v>
      </c>
      <c r="B9" s="1" t="s">
        <v>20</v>
      </c>
      <c r="C9" s="1">
        <v>96.8</v>
      </c>
      <c r="D9" s="1">
        <v>55.45</v>
      </c>
      <c r="E9" s="1">
        <v>47.57</v>
      </c>
      <c r="F9" s="1">
        <v>6.64</v>
      </c>
      <c r="G9" s="2">
        <f t="shared" si="0"/>
        <v>-1.240000000000002</v>
      </c>
      <c r="H9" s="5">
        <f t="shared" si="1"/>
        <v>-1.2809917355371922E-2</v>
      </c>
      <c r="I9" s="6">
        <v>4</v>
      </c>
      <c r="J9" s="6">
        <f t="shared" si="2"/>
        <v>-4.960000000000008</v>
      </c>
    </row>
    <row r="10" spans="1:10" ht="15.75" customHeight="1">
      <c r="A10" s="4">
        <v>4930</v>
      </c>
      <c r="B10" s="4" t="s">
        <v>21</v>
      </c>
      <c r="C10" s="1">
        <v>108.4</v>
      </c>
      <c r="D10" s="4">
        <v>46.95</v>
      </c>
      <c r="E10" s="4">
        <v>34.6</v>
      </c>
      <c r="F10" s="4">
        <v>12.12</v>
      </c>
      <c r="G10" s="2">
        <f t="shared" si="0"/>
        <v>-0.23000000000000398</v>
      </c>
      <c r="H10" s="5">
        <f t="shared" si="1"/>
        <v>-2.1217712177122139E-3</v>
      </c>
      <c r="I10" s="6">
        <v>2</v>
      </c>
      <c r="J10" s="6">
        <f t="shared" si="2"/>
        <v>-0.46000000000000796</v>
      </c>
    </row>
    <row r="11" spans="1:10">
      <c r="A11" s="4">
        <v>76</v>
      </c>
      <c r="B11" s="4" t="s">
        <v>26</v>
      </c>
      <c r="C11" s="7">
        <v>73.2</v>
      </c>
      <c r="D11" s="4">
        <f>46.4+5.93</f>
        <v>52.33</v>
      </c>
      <c r="E11" s="4">
        <v>32.799999999999997</v>
      </c>
      <c r="F11" s="4">
        <v>18.28</v>
      </c>
      <c r="G11" s="2">
        <f t="shared" si="0"/>
        <v>-1.25</v>
      </c>
      <c r="H11" s="5">
        <f t="shared" si="1"/>
        <v>-1.7076502732240435E-2</v>
      </c>
      <c r="I11" s="6">
        <v>4.29</v>
      </c>
      <c r="J11" s="6">
        <f t="shared" si="2"/>
        <v>-5.3624999999999998</v>
      </c>
    </row>
    <row r="12" spans="1:10">
      <c r="A12" s="4">
        <v>1796</v>
      </c>
      <c r="B12" s="4" t="s">
        <v>46</v>
      </c>
      <c r="C12" s="7">
        <v>156.46</v>
      </c>
      <c r="D12" s="4">
        <v>62.48</v>
      </c>
      <c r="E12" s="4">
        <v>25.6</v>
      </c>
      <c r="F12" s="4">
        <v>21.594999999999999</v>
      </c>
      <c r="G12" s="2">
        <f t="shared" si="0"/>
        <v>-15.284999999999997</v>
      </c>
      <c r="H12" s="5">
        <f t="shared" si="1"/>
        <v>-9.7692701009842745E-2</v>
      </c>
      <c r="I12" s="6">
        <v>4</v>
      </c>
      <c r="J12" s="6">
        <f t="shared" si="2"/>
        <v>-61.139999999999986</v>
      </c>
    </row>
    <row r="13" spans="1:10">
      <c r="A13" s="4">
        <v>1718</v>
      </c>
      <c r="B13" s="4" t="s">
        <v>36</v>
      </c>
      <c r="C13" s="4">
        <v>77</v>
      </c>
      <c r="D13" s="4">
        <v>60.76</v>
      </c>
      <c r="E13" s="4">
        <v>58.8</v>
      </c>
      <c r="F13" s="4">
        <v>1.52</v>
      </c>
      <c r="G13" s="2">
        <f t="shared" si="0"/>
        <v>-0.43999999999999773</v>
      </c>
      <c r="H13" s="5">
        <f t="shared" si="1"/>
        <v>-5.7142857142856848E-3</v>
      </c>
      <c r="I13" s="6">
        <v>3.3</v>
      </c>
      <c r="J13" s="6">
        <f t="shared" si="2"/>
        <v>-1.4519999999999924</v>
      </c>
    </row>
    <row r="14" spans="1:10" ht="16.5" thickBot="1">
      <c r="A14" s="43"/>
      <c r="B14" s="43"/>
      <c r="C14" s="43"/>
      <c r="D14" s="43"/>
      <c r="E14" s="43"/>
      <c r="F14" s="43"/>
      <c r="G14" s="40"/>
      <c r="H14" s="44"/>
      <c r="I14" s="45" t="s">
        <v>43</v>
      </c>
      <c r="J14" s="46">
        <f>SUM(J5:J13)</f>
        <v>-213.59149999999937</v>
      </c>
    </row>
    <row r="15" spans="1:10">
      <c r="A15" s="14"/>
      <c r="B15" s="15"/>
      <c r="C15" s="15"/>
      <c r="D15" s="15"/>
      <c r="E15" s="15"/>
      <c r="F15" s="15"/>
      <c r="G15" s="8"/>
      <c r="H15" s="9"/>
      <c r="I15" s="16"/>
      <c r="J15" s="17"/>
    </row>
    <row r="16" spans="1:10" ht="13.5" customHeight="1">
      <c r="J16" s="47"/>
    </row>
    <row r="17" ht="21.75" customHeight="1"/>
    <row r="18" ht="21.75" customHeight="1"/>
    <row r="19" ht="21.75" customHeight="1"/>
    <row r="20" ht="21.75" customHeight="1"/>
  </sheetData>
  <autoFilter ref="A4:J15"/>
  <mergeCells count="3">
    <mergeCell ref="A1:H1"/>
    <mergeCell ref="A2:H2"/>
    <mergeCell ref="A3:J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D22" sqref="D22"/>
    </sheetView>
  </sheetViews>
  <sheetFormatPr baseColWidth="10" defaultRowHeight="15"/>
  <cols>
    <col min="2" max="2" width="25.7109375" bestFit="1" customWidth="1"/>
    <col min="3" max="3" width="19.85546875" bestFit="1" customWidth="1"/>
  </cols>
  <sheetData>
    <row r="1" spans="1:10" ht="15.75" customHeight="1">
      <c r="A1" s="49" t="s">
        <v>49</v>
      </c>
      <c r="B1" s="49"/>
      <c r="C1" s="49"/>
      <c r="D1" s="49"/>
      <c r="E1" s="49"/>
      <c r="F1" s="49"/>
      <c r="G1" s="49"/>
      <c r="H1" s="49"/>
    </row>
    <row r="2" spans="1:10" ht="23.25">
      <c r="A2" s="51" t="s">
        <v>0</v>
      </c>
      <c r="B2" s="51"/>
      <c r="C2" s="51"/>
      <c r="D2" s="51"/>
      <c r="E2" s="51"/>
      <c r="F2" s="51"/>
      <c r="G2" s="51"/>
      <c r="H2" s="51"/>
    </row>
    <row r="3" spans="1:10" ht="45" customHeight="1">
      <c r="A3" s="10" t="s">
        <v>44</v>
      </c>
      <c r="B3" s="10" t="s">
        <v>41</v>
      </c>
      <c r="C3" s="10" t="s">
        <v>23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22</v>
      </c>
      <c r="I3" s="10" t="s">
        <v>24</v>
      </c>
      <c r="J3" s="10" t="s">
        <v>25</v>
      </c>
    </row>
    <row r="4" spans="1:10">
      <c r="A4" s="20">
        <v>424</v>
      </c>
      <c r="B4" s="20" t="s">
        <v>5</v>
      </c>
      <c r="C4" s="20">
        <f>317.4</f>
        <v>317.39999999999998</v>
      </c>
      <c r="D4" s="20">
        <v>1.98</v>
      </c>
      <c r="E4" s="20">
        <v>0</v>
      </c>
      <c r="F4" s="20">
        <v>1.98</v>
      </c>
      <c r="G4" s="20">
        <f>Tabla14[[#This Row],[VENTAS]]+Tabla14[[#This Row],[FISICO]]-Tabla14[[#This Row],[SISTEMA]]</f>
        <v>0</v>
      </c>
      <c r="H4" s="22">
        <f>Tabla14[[#This Row],[DIFERENCIA]]/Tabla14[[#This Row],[ULT. RECEPCION]]</f>
        <v>0</v>
      </c>
      <c r="I4" s="26"/>
      <c r="J4" s="26"/>
    </row>
    <row r="5" spans="1:10">
      <c r="A5" s="20">
        <v>1947</v>
      </c>
      <c r="B5" s="20" t="s">
        <v>6</v>
      </c>
      <c r="C5" s="20">
        <f>120.1+85.08</f>
        <v>205.18</v>
      </c>
      <c r="D5" s="20">
        <v>80.63</v>
      </c>
      <c r="E5" s="20">
        <v>69.38</v>
      </c>
      <c r="F5" s="20">
        <v>14.435</v>
      </c>
      <c r="G5" s="20">
        <f>Tabla14[[#This Row],[VENTAS]]+Tabla14[[#This Row],[FISICO]]-Tabla14[[#This Row],[SISTEMA]]</f>
        <v>3.1850000000000023</v>
      </c>
      <c r="H5" s="22">
        <f>Tabla14[[#This Row],[DIFERENCIA]]/Tabla14[[#This Row],[ULT. RECEPCION]]</f>
        <v>1.552295545374794E-2</v>
      </c>
      <c r="I5" s="26"/>
      <c r="J5" s="26"/>
    </row>
    <row r="6" spans="1:10">
      <c r="A6" s="20">
        <v>1937</v>
      </c>
      <c r="B6" s="27" t="s">
        <v>7</v>
      </c>
      <c r="C6" s="20">
        <f>349+123.8</f>
        <v>472.8</v>
      </c>
      <c r="D6" s="20">
        <v>202.11</v>
      </c>
      <c r="E6" s="20">
        <v>120.28</v>
      </c>
      <c r="F6" s="20">
        <v>14.7</v>
      </c>
      <c r="G6" s="20">
        <f>Tabla14[[#This Row],[VENTAS]]+Tabla14[[#This Row],[FISICO]]-Tabla14[[#This Row],[SISTEMA]]</f>
        <v>-67.130000000000024</v>
      </c>
      <c r="H6" s="22">
        <f>Tabla14[[#This Row],[DIFERENCIA]]/Tabla14[[#This Row],[ULT. RECEPCION]]</f>
        <v>-0.14198392554991546</v>
      </c>
      <c r="I6" s="26">
        <v>5.08</v>
      </c>
      <c r="J6" s="26">
        <f>Tabla14[[#This Row],[COSTO]]*Tabla14[[#This Row],[DIFERENCIA]]</f>
        <v>-341.02040000000011</v>
      </c>
    </row>
    <row r="7" spans="1:10">
      <c r="A7" s="20">
        <v>1887</v>
      </c>
      <c r="B7" s="27" t="s">
        <v>8</v>
      </c>
      <c r="C7" s="20">
        <f>247.07+31.94</f>
        <v>279.01</v>
      </c>
      <c r="D7" s="20">
        <v>81.459999999999994</v>
      </c>
      <c r="E7" s="20">
        <v>72.959999999999994</v>
      </c>
      <c r="F7" s="20">
        <v>5.56</v>
      </c>
      <c r="G7" s="20">
        <f>Tabla14[[#This Row],[VENTAS]]+Tabla14[[#This Row],[FISICO]]-Tabla14[[#This Row],[SISTEMA]]</f>
        <v>-2.9399999999999977</v>
      </c>
      <c r="H7" s="22">
        <f>Tabla14[[#This Row],[DIFERENCIA]]/Tabla14[[#This Row],[ULT. RECEPCION]]</f>
        <v>-1.0537256729149486E-2</v>
      </c>
      <c r="I7" s="26">
        <v>1.2</v>
      </c>
      <c r="J7" s="26">
        <f>Tabla14[[#This Row],[COSTO]]*Tabla14[[#This Row],[DIFERENCIA]]</f>
        <v>-3.5279999999999974</v>
      </c>
    </row>
    <row r="8" spans="1:10">
      <c r="A8" s="20">
        <v>5148</v>
      </c>
      <c r="B8" s="20" t="s">
        <v>9</v>
      </c>
      <c r="C8" s="20">
        <f>507.84+279.41</f>
        <v>787.25</v>
      </c>
      <c r="D8" s="20">
        <v>149.19</v>
      </c>
      <c r="E8" s="20">
        <v>90.6</v>
      </c>
      <c r="F8" s="20">
        <v>52.645000000000003</v>
      </c>
      <c r="G8" s="20">
        <f>Tabla14[[#This Row],[VENTAS]]+Tabla14[[#This Row],[FISICO]]-Tabla14[[#This Row],[SISTEMA]]</f>
        <v>-5.9449999999999932</v>
      </c>
      <c r="H8" s="22">
        <f>Tabla14[[#This Row],[DIFERENCIA]]/Tabla14[[#This Row],[ULT. RECEPCION]]</f>
        <v>-7.5516036837091054E-3</v>
      </c>
      <c r="I8" s="26">
        <v>2.61</v>
      </c>
      <c r="J8" s="26">
        <f>Tabla14[[#This Row],[COSTO]]*Tabla14[[#This Row],[DIFERENCIA]]</f>
        <v>-15.516449999999981</v>
      </c>
    </row>
    <row r="9" spans="1:10">
      <c r="A9" s="20">
        <v>1986</v>
      </c>
      <c r="B9" s="27" t="s">
        <v>10</v>
      </c>
      <c r="C9" s="20">
        <f>47.4+137.02</f>
        <v>184.42000000000002</v>
      </c>
      <c r="D9" s="20">
        <v>132.26</v>
      </c>
      <c r="E9" s="20">
        <v>129.69999999999999</v>
      </c>
      <c r="F9" s="20">
        <v>3.6949999999999998</v>
      </c>
      <c r="G9" s="20">
        <f>Tabla14[[#This Row],[VENTAS]]+Tabla14[[#This Row],[FISICO]]-Tabla14[[#This Row],[SISTEMA]]</f>
        <v>1.1349999999999909</v>
      </c>
      <c r="H9" s="22">
        <f>Tabla14[[#This Row],[DIFERENCIA]]/Tabla14[[#This Row],[ULT. RECEPCION]]</f>
        <v>6.1544301051946141E-3</v>
      </c>
      <c r="I9" s="26"/>
      <c r="J9" s="26"/>
    </row>
    <row r="10" spans="1:10">
      <c r="A10" s="20">
        <v>3120</v>
      </c>
      <c r="B10" s="20" t="s">
        <v>11</v>
      </c>
      <c r="C10" s="20">
        <f>378.6+1006.1</f>
        <v>1384.7</v>
      </c>
      <c r="D10" s="20">
        <v>476.57</v>
      </c>
      <c r="E10" s="20">
        <v>436</v>
      </c>
      <c r="F10" s="20">
        <v>27.715</v>
      </c>
      <c r="G10" s="20">
        <f>Tabla14[[#This Row],[VENTAS]]+Tabla14[[#This Row],[FISICO]]-Tabla14[[#This Row],[SISTEMA]]</f>
        <v>-12.855000000000018</v>
      </c>
      <c r="H10" s="22">
        <f>Tabla14[[#This Row],[DIFERENCIA]]/Tabla14[[#This Row],[ULT. RECEPCION]]</f>
        <v>-9.2835993355961707E-3</v>
      </c>
      <c r="I10" s="26">
        <v>2.5</v>
      </c>
      <c r="J10" s="26">
        <f>Tabla14[[#This Row],[COSTO]]*Tabla14[[#This Row],[DIFERENCIA]]</f>
        <v>-32.137500000000045</v>
      </c>
    </row>
    <row r="11" spans="1:10" hidden="1">
      <c r="A11" s="20">
        <v>1910</v>
      </c>
      <c r="B11" s="20" t="s">
        <v>12</v>
      </c>
      <c r="C11" s="21">
        <f>99.84+75.6</f>
        <v>175.44</v>
      </c>
      <c r="D11" s="29">
        <v>113.11</v>
      </c>
      <c r="E11" s="20">
        <v>120.8</v>
      </c>
      <c r="F11" s="20">
        <v>3.5950000000000002</v>
      </c>
      <c r="G11" s="20">
        <f>Tabla14[[#This Row],[VENTAS]]+Tabla14[[#This Row],[FISICO]]-Tabla14[[#This Row],[SISTEMA]]</f>
        <v>11.284999999999997</v>
      </c>
      <c r="H11" s="22">
        <f>Tabla14[[#This Row],[DIFERENCIA]]/Tabla14[[#This Row],[ULT. RECEPCION]]</f>
        <v>6.4323985408116721E-2</v>
      </c>
      <c r="I11" s="26"/>
      <c r="J11" s="26"/>
    </row>
    <row r="12" spans="1:10" hidden="1">
      <c r="A12" s="20">
        <v>15587</v>
      </c>
      <c r="B12" s="20" t="s">
        <v>13</v>
      </c>
      <c r="C12" s="21">
        <f>3.8+39.6</f>
        <v>43.4</v>
      </c>
      <c r="D12" s="20">
        <v>13.19</v>
      </c>
      <c r="E12" s="20">
        <v>0.60499999999999998</v>
      </c>
      <c r="F12" s="20">
        <v>4.21</v>
      </c>
      <c r="G12" s="20">
        <f>Tabla14[[#This Row],[VENTAS]]+Tabla14[[#This Row],[FISICO]]-Tabla14[[#This Row],[SISTEMA]]</f>
        <v>-8.375</v>
      </c>
      <c r="H12" s="22">
        <f>Tabla14[[#This Row],[DIFERENCIA]]/Tabla14[[#This Row],[ULT. RECEPCION]]</f>
        <v>-0.19297235023041476</v>
      </c>
      <c r="I12" s="26">
        <v>4.8499999999999996</v>
      </c>
      <c r="J12" s="26">
        <f>Tabla14[[#This Row],[COSTO]]*Tabla14[[#This Row],[DIFERENCIA]]</f>
        <v>-40.618749999999999</v>
      </c>
    </row>
    <row r="13" spans="1:10" hidden="1">
      <c r="A13" s="20">
        <v>1906</v>
      </c>
      <c r="B13" s="20" t="s">
        <v>14</v>
      </c>
      <c r="C13" s="21">
        <f>132+74.6</f>
        <v>206.6</v>
      </c>
      <c r="D13" s="20">
        <v>147.6</v>
      </c>
      <c r="E13" s="20">
        <v>136.19999999999999</v>
      </c>
      <c r="F13" s="20">
        <v>8.24</v>
      </c>
      <c r="G13" s="20">
        <f>Tabla14[[#This Row],[VENTAS]]+Tabla14[[#This Row],[FISICO]]-Tabla14[[#This Row],[SISTEMA]]</f>
        <v>-3.1599999999999966</v>
      </c>
      <c r="H13" s="22">
        <f>Tabla14[[#This Row],[DIFERENCIA]]/Tabla14[[#This Row],[ULT. RECEPCION]]</f>
        <v>-1.5295256534365908E-2</v>
      </c>
      <c r="I13" s="26">
        <v>5.73</v>
      </c>
      <c r="J13" s="26">
        <f>Tabla14[[#This Row],[COSTO]]*Tabla14[[#This Row],[DIFERENCIA]]</f>
        <v>-18.106799999999982</v>
      </c>
    </row>
    <row r="14" spans="1:10">
      <c r="A14" s="28">
        <v>1893</v>
      </c>
      <c r="B14" s="29" t="s">
        <v>33</v>
      </c>
      <c r="C14" s="30">
        <f>81.87+6.29</f>
        <v>88.160000000000011</v>
      </c>
      <c r="D14" s="29">
        <f>49.57-15.145</f>
        <v>34.424999999999997</v>
      </c>
      <c r="E14" s="29">
        <v>2.11</v>
      </c>
      <c r="F14" s="29">
        <v>7.875</v>
      </c>
      <c r="G14" s="20">
        <f>Tabla14[[#This Row],[VENTAS]]+Tabla14[[#This Row],[FISICO]]-Tabla14[[#This Row],[SISTEMA]]</f>
        <v>-24.439999999999998</v>
      </c>
      <c r="H14" s="22">
        <f>Tabla14[[#This Row],[DIFERENCIA]]/Tabla14[[#This Row],[ULT. RECEPCION]]</f>
        <v>-0.27722323049001807</v>
      </c>
      <c r="I14" s="31">
        <v>2.99</v>
      </c>
      <c r="J14" s="26">
        <f>Tabla14[[#This Row],[COSTO]]*Tabla14[[#This Row],[DIFERENCIA]]</f>
        <v>-73.075599999999994</v>
      </c>
    </row>
    <row r="15" spans="1:10">
      <c r="A15" s="28">
        <v>1889</v>
      </c>
      <c r="B15" s="29" t="s">
        <v>34</v>
      </c>
      <c r="C15" s="30">
        <f>62.26+12.12</f>
        <v>74.38</v>
      </c>
      <c r="D15" s="29">
        <v>52.365000000000002</v>
      </c>
      <c r="E15" s="29">
        <v>4.33</v>
      </c>
      <c r="F15" s="29">
        <v>14.15</v>
      </c>
      <c r="G15" s="20">
        <f>Tabla14[[#This Row],[VENTAS]]+Tabla14[[#This Row],[FISICO]]-Tabla14[[#This Row],[SISTEMA]]</f>
        <v>-33.885000000000005</v>
      </c>
      <c r="H15" s="22">
        <f>Tabla14[[#This Row],[DIFERENCIA]]/Tabla14[[#This Row],[ULT. RECEPCION]]</f>
        <v>-0.45556601236891647</v>
      </c>
      <c r="I15" s="31">
        <v>2.61</v>
      </c>
      <c r="J15" s="26">
        <f>Tabla14[[#This Row],[COSTO]]*Tabla14[[#This Row],[DIFERENCIA]]</f>
        <v>-88.439850000000007</v>
      </c>
    </row>
    <row r="16" spans="1:10" ht="15.75" thickBot="1">
      <c r="A16" s="20">
        <v>88</v>
      </c>
      <c r="B16" s="20" t="s">
        <v>28</v>
      </c>
      <c r="C16" s="21">
        <f>404.51+91.16</f>
        <v>495.66999999999996</v>
      </c>
      <c r="D16" s="20">
        <v>113.32</v>
      </c>
      <c r="E16" s="20">
        <v>74.599999999999994</v>
      </c>
      <c r="F16" s="20">
        <v>11.2</v>
      </c>
      <c r="G16" s="20">
        <f>Tabla14[[#This Row],[VENTAS]]+Tabla14[[#This Row],[FISICO]]-Tabla14[[#This Row],[SISTEMA]]</f>
        <v>-27.519999999999996</v>
      </c>
      <c r="H16" s="22">
        <f>Tabla14[[#This Row],[DIFERENCIA]]/Tabla14[[#This Row],[ULT. RECEPCION]]</f>
        <v>-5.5520810216474668E-2</v>
      </c>
      <c r="I16" s="32">
        <v>2.5</v>
      </c>
      <c r="J16" s="32">
        <f>Tabla14[[#This Row],[COSTO]]*Tabla14[[#This Row],[DIFERENCIA]]</f>
        <v>-68.799999999999983</v>
      </c>
    </row>
    <row r="17" spans="1:10" ht="16.5" thickBot="1">
      <c r="A17" s="33"/>
      <c r="B17" s="34"/>
      <c r="C17" s="35"/>
      <c r="D17" s="34"/>
      <c r="E17" s="34"/>
      <c r="F17" s="34"/>
      <c r="G17" s="34"/>
      <c r="H17" s="36"/>
      <c r="I17" s="37" t="s">
        <v>42</v>
      </c>
      <c r="J17" s="38">
        <f>SUBTOTAL(109,Tabla14[COSTO TOTAL])</f>
        <v>-622.51780000000008</v>
      </c>
    </row>
  </sheetData>
  <mergeCells count="2">
    <mergeCell ref="A1:H1"/>
    <mergeCell ref="A2:H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6" sqref="J16"/>
    </sheetView>
  </sheetViews>
  <sheetFormatPr baseColWidth="10" defaultRowHeight="15"/>
  <cols>
    <col min="2" max="2" width="30.7109375" customWidth="1"/>
    <col min="3" max="3" width="12.28515625" customWidth="1"/>
  </cols>
  <sheetData>
    <row r="1" spans="1:10" ht="15.75" customHeight="1">
      <c r="B1" s="49" t="s">
        <v>49</v>
      </c>
      <c r="C1" s="49"/>
      <c r="D1" s="49"/>
      <c r="E1" s="49"/>
      <c r="F1" s="49"/>
      <c r="G1" s="49"/>
      <c r="H1" s="49"/>
      <c r="I1" s="49"/>
    </row>
    <row r="3" spans="1:10" ht="23.25">
      <c r="A3" s="52" t="s">
        <v>27</v>
      </c>
      <c r="B3" s="53"/>
      <c r="C3" s="53"/>
      <c r="D3" s="53"/>
      <c r="E3" s="53"/>
      <c r="F3" s="53"/>
      <c r="G3" s="53"/>
      <c r="H3" s="53"/>
      <c r="I3" s="53"/>
      <c r="J3" s="54"/>
    </row>
    <row r="4" spans="1:10" ht="51.75" customHeight="1">
      <c r="A4" s="12" t="s">
        <v>40</v>
      </c>
      <c r="B4" s="12" t="s">
        <v>41</v>
      </c>
      <c r="C4" s="12" t="s">
        <v>45</v>
      </c>
      <c r="D4" s="12" t="s">
        <v>1</v>
      </c>
      <c r="E4" s="12" t="s">
        <v>2</v>
      </c>
      <c r="F4" s="12" t="s">
        <v>3</v>
      </c>
      <c r="G4" s="12" t="s">
        <v>4</v>
      </c>
      <c r="H4" s="13" t="s">
        <v>22</v>
      </c>
      <c r="I4" s="12" t="s">
        <v>24</v>
      </c>
      <c r="J4" s="12" t="s">
        <v>25</v>
      </c>
    </row>
    <row r="5" spans="1:10">
      <c r="A5" s="20">
        <v>1902</v>
      </c>
      <c r="B5" s="20" t="s">
        <v>29</v>
      </c>
      <c r="C5" s="20">
        <f>51.015+85.7</f>
        <v>136.715</v>
      </c>
      <c r="D5" s="20">
        <v>116.28</v>
      </c>
      <c r="E5" s="20">
        <v>107.2</v>
      </c>
      <c r="F5" s="20">
        <v>3.11</v>
      </c>
      <c r="G5" s="21">
        <f t="shared" ref="G5:G14" si="0">F5+E5-D5</f>
        <v>-5.9699999999999989</v>
      </c>
      <c r="H5" s="22">
        <f t="shared" ref="H5:H14" si="1">G5/C5</f>
        <v>-4.3667483450974647E-2</v>
      </c>
      <c r="I5" s="23">
        <v>1.1000000000000001</v>
      </c>
      <c r="J5" s="23">
        <f t="shared" ref="J5:J14" si="2">G5*I5</f>
        <v>-6.5669999999999993</v>
      </c>
    </row>
    <row r="6" spans="1:10">
      <c r="A6" s="20">
        <v>2013</v>
      </c>
      <c r="B6" s="20" t="s">
        <v>30</v>
      </c>
      <c r="C6" s="20">
        <v>106.15</v>
      </c>
      <c r="D6" s="20">
        <v>71.55</v>
      </c>
      <c r="E6" s="20">
        <v>57.4</v>
      </c>
      <c r="F6" s="20">
        <v>1.56</v>
      </c>
      <c r="G6" s="21">
        <f t="shared" si="0"/>
        <v>-12.589999999999996</v>
      </c>
      <c r="H6" s="22">
        <f t="shared" si="1"/>
        <v>-0.11860574658502115</v>
      </c>
      <c r="I6" s="23">
        <v>6.1</v>
      </c>
      <c r="J6" s="23">
        <f t="shared" si="2"/>
        <v>-76.798999999999978</v>
      </c>
    </row>
    <row r="7" spans="1:10">
      <c r="A7" s="20">
        <v>1941</v>
      </c>
      <c r="B7" s="20" t="s">
        <v>31</v>
      </c>
      <c r="C7" s="20">
        <v>1.18</v>
      </c>
      <c r="D7" s="20">
        <v>1.18</v>
      </c>
      <c r="E7" s="20">
        <v>0</v>
      </c>
      <c r="F7" s="20">
        <v>0</v>
      </c>
      <c r="G7" s="21">
        <f t="shared" si="0"/>
        <v>-1.18</v>
      </c>
      <c r="H7" s="22">
        <f t="shared" si="1"/>
        <v>-1</v>
      </c>
      <c r="I7" s="23">
        <v>5.5</v>
      </c>
      <c r="J7" s="23">
        <f t="shared" si="2"/>
        <v>-6.4899999999999993</v>
      </c>
    </row>
    <row r="8" spans="1:10">
      <c r="A8" s="20">
        <v>3509</v>
      </c>
      <c r="B8" s="20" t="s">
        <v>32</v>
      </c>
      <c r="C8" s="20">
        <f>165.9+135.915</f>
        <v>301.815</v>
      </c>
      <c r="D8" s="20">
        <v>113.25</v>
      </c>
      <c r="E8" s="20">
        <v>77.8</v>
      </c>
      <c r="F8" s="20"/>
      <c r="G8" s="21">
        <f t="shared" si="0"/>
        <v>-35.450000000000003</v>
      </c>
      <c r="H8" s="22">
        <f t="shared" si="1"/>
        <v>-0.11745605751867867</v>
      </c>
      <c r="I8" s="23">
        <v>5.17</v>
      </c>
      <c r="J8" s="23">
        <f t="shared" si="2"/>
        <v>-183.2765</v>
      </c>
    </row>
    <row r="9" spans="1:10">
      <c r="A9" s="20">
        <v>1931</v>
      </c>
      <c r="B9" s="20" t="s">
        <v>35</v>
      </c>
      <c r="C9" s="20">
        <v>160.4</v>
      </c>
      <c r="D9" s="20">
        <f>94.41-35.86</f>
        <v>58.55</v>
      </c>
      <c r="E9" s="20">
        <v>43.8</v>
      </c>
      <c r="F9" s="20">
        <v>3.31</v>
      </c>
      <c r="G9" s="21">
        <f t="shared" si="0"/>
        <v>-11.439999999999998</v>
      </c>
      <c r="H9" s="22">
        <f t="shared" si="1"/>
        <v>-7.1321695760598491E-2</v>
      </c>
      <c r="I9" s="23">
        <v>5.9</v>
      </c>
      <c r="J9" s="23">
        <f t="shared" si="2"/>
        <v>-67.495999999999995</v>
      </c>
    </row>
    <row r="10" spans="1:10">
      <c r="A10" s="20">
        <v>4958</v>
      </c>
      <c r="B10" s="20" t="s">
        <v>48</v>
      </c>
      <c r="C10" s="20">
        <v>100.9</v>
      </c>
      <c r="D10" s="20">
        <v>92.96</v>
      </c>
      <c r="E10" s="20">
        <v>91.4</v>
      </c>
      <c r="F10" s="20">
        <v>1.21</v>
      </c>
      <c r="G10" s="21">
        <f t="shared" si="0"/>
        <v>-0.34999999999999432</v>
      </c>
      <c r="H10" s="22">
        <f t="shared" si="1"/>
        <v>-3.4687809712586155E-3</v>
      </c>
      <c r="I10" s="23">
        <v>4.2</v>
      </c>
      <c r="J10" s="23">
        <f t="shared" si="2"/>
        <v>-1.4699999999999762</v>
      </c>
    </row>
    <row r="11" spans="1:10">
      <c r="A11" s="20">
        <v>5826</v>
      </c>
      <c r="B11" s="20" t="s">
        <v>47</v>
      </c>
      <c r="C11" s="20">
        <v>18</v>
      </c>
      <c r="D11" s="20">
        <v>16.55</v>
      </c>
      <c r="E11" s="20">
        <v>11.8</v>
      </c>
      <c r="F11" s="20">
        <v>0.56000000000000005</v>
      </c>
      <c r="G11" s="21">
        <f t="shared" si="0"/>
        <v>-4.1899999999999995</v>
      </c>
      <c r="H11" s="22">
        <f t="shared" si="1"/>
        <v>-0.23277777777777775</v>
      </c>
      <c r="I11" s="23">
        <v>6.08</v>
      </c>
      <c r="J11" s="23">
        <f t="shared" si="2"/>
        <v>-25.475199999999997</v>
      </c>
    </row>
    <row r="12" spans="1:10">
      <c r="A12" s="20">
        <v>1969</v>
      </c>
      <c r="B12" s="20" t="s">
        <v>37</v>
      </c>
      <c r="C12" s="24">
        <v>225</v>
      </c>
      <c r="D12" s="24">
        <f>200+57.88</f>
        <v>257.88</v>
      </c>
      <c r="E12" s="24">
        <f>200+47</f>
        <v>247</v>
      </c>
      <c r="F12" s="24">
        <v>0</v>
      </c>
      <c r="G12" s="21">
        <f t="shared" si="0"/>
        <v>-10.879999999999995</v>
      </c>
      <c r="H12" s="22">
        <f t="shared" si="1"/>
        <v>-4.8355555555555534E-2</v>
      </c>
      <c r="I12" s="23">
        <v>2.5</v>
      </c>
      <c r="J12" s="23">
        <f t="shared" si="2"/>
        <v>-27.199999999999989</v>
      </c>
    </row>
    <row r="13" spans="1:10">
      <c r="A13" s="24">
        <v>1987</v>
      </c>
      <c r="B13" s="24" t="s">
        <v>38</v>
      </c>
      <c r="C13" s="24">
        <f>303.6+180.06</f>
        <v>483.66</v>
      </c>
      <c r="D13" s="24">
        <v>200.5</v>
      </c>
      <c r="E13" s="24">
        <v>189.2</v>
      </c>
      <c r="F13" s="24">
        <v>5.72</v>
      </c>
      <c r="G13" s="21">
        <f t="shared" si="0"/>
        <v>-5.5800000000000125</v>
      </c>
      <c r="H13" s="22">
        <f t="shared" si="1"/>
        <v>-1.1537030145143307E-2</v>
      </c>
      <c r="I13" s="23">
        <v>2.6</v>
      </c>
      <c r="J13" s="23">
        <f t="shared" si="2"/>
        <v>-14.508000000000033</v>
      </c>
    </row>
    <row r="14" spans="1:10" ht="15.75" thickBot="1">
      <c r="A14" s="24">
        <v>1789</v>
      </c>
      <c r="B14" s="24" t="s">
        <v>39</v>
      </c>
      <c r="C14" s="24">
        <v>4.32</v>
      </c>
      <c r="D14" s="24">
        <v>4.32</v>
      </c>
      <c r="E14" s="24">
        <v>0</v>
      </c>
      <c r="F14" s="24"/>
      <c r="G14" s="21">
        <f t="shared" si="0"/>
        <v>-4.32</v>
      </c>
      <c r="H14" s="22">
        <f t="shared" si="1"/>
        <v>-1</v>
      </c>
      <c r="I14" s="25">
        <v>7.8</v>
      </c>
      <c r="J14" s="25">
        <f t="shared" si="2"/>
        <v>-33.695999999999998</v>
      </c>
    </row>
    <row r="15" spans="1:10" ht="16.5" thickBot="1">
      <c r="I15" s="18" t="s">
        <v>43</v>
      </c>
      <c r="J15" s="19">
        <f>SUM(J5:J14)</f>
        <v>-442.97769999999991</v>
      </c>
    </row>
  </sheetData>
  <autoFilter ref="A4:J15"/>
  <mergeCells count="2">
    <mergeCell ref="A3:J3"/>
    <mergeCell ref="B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</vt:lpstr>
      <vt:lpstr>pollo</vt:lpstr>
      <vt:lpstr>cochino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2022-03-14T15:36:26Z</cp:lastPrinted>
  <dcterms:created xsi:type="dcterms:W3CDTF">2021-08-30T12:50:16Z</dcterms:created>
  <dcterms:modified xsi:type="dcterms:W3CDTF">2022-03-21T19:19:43Z</dcterms:modified>
</cp:coreProperties>
</file>