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86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72" i="1" l="1"/>
  <c r="D59" i="1"/>
  <c r="D57" i="1"/>
  <c r="D56" i="1"/>
  <c r="D54" i="1"/>
  <c r="D53" i="1"/>
  <c r="D50" i="1"/>
  <c r="D49" i="1"/>
  <c r="D47" i="1"/>
  <c r="D45" i="1"/>
  <c r="D44" i="1"/>
  <c r="D43" i="1"/>
  <c r="D42" i="1"/>
  <c r="D41" i="1"/>
  <c r="D40" i="1"/>
  <c r="D38" i="1"/>
  <c r="D32" i="1"/>
  <c r="D30" i="1"/>
  <c r="D28" i="1"/>
  <c r="D29" i="1"/>
  <c r="D27" i="1"/>
  <c r="D26" i="1"/>
  <c r="D25" i="1"/>
  <c r="D24" i="1"/>
  <c r="D23" i="1"/>
  <c r="D20" i="1"/>
  <c r="D15" i="1"/>
  <c r="D14" i="1"/>
  <c r="D13" i="1"/>
  <c r="E12" i="1"/>
  <c r="D11" i="1"/>
  <c r="E62" i="1" l="1"/>
  <c r="G62" i="1" s="1"/>
  <c r="H62" i="1" s="1"/>
  <c r="E18" i="1"/>
  <c r="G18" i="1" s="1"/>
  <c r="H18" i="1" s="1"/>
  <c r="E70" i="1"/>
  <c r="G70" i="1" s="1"/>
  <c r="E124" i="1"/>
  <c r="G124" i="1" s="1"/>
  <c r="J124" i="1" s="1"/>
  <c r="E81" i="1"/>
  <c r="G81" i="1" s="1"/>
  <c r="J81" i="1" s="1"/>
  <c r="E76" i="1"/>
  <c r="G76" i="1" s="1"/>
  <c r="E72" i="1"/>
  <c r="G72" i="1" s="1"/>
  <c r="J72" i="1" s="1"/>
  <c r="E68" i="1"/>
  <c r="G68" i="1" s="1"/>
  <c r="J68" i="1" s="1"/>
  <c r="E65" i="1"/>
  <c r="G65" i="1" s="1"/>
  <c r="E60" i="1"/>
  <c r="G60" i="1" s="1"/>
  <c r="E59" i="1"/>
  <c r="G59" i="1" s="1"/>
  <c r="J59" i="1" s="1"/>
  <c r="E58" i="1"/>
  <c r="G58" i="1" s="1"/>
  <c r="E57" i="1"/>
  <c r="G57" i="1" s="1"/>
  <c r="E56" i="1"/>
  <c r="G56" i="1" s="1"/>
  <c r="J56" i="1" s="1"/>
  <c r="E55" i="1"/>
  <c r="G55" i="1" s="1"/>
  <c r="J55" i="1" s="1"/>
  <c r="E54" i="1"/>
  <c r="G54" i="1" s="1"/>
  <c r="E51" i="1"/>
  <c r="G51" i="1" s="1"/>
  <c r="J51" i="1" s="1"/>
  <c r="E50" i="1"/>
  <c r="G50" i="1" s="1"/>
  <c r="E49" i="1"/>
  <c r="G49" i="1" s="1"/>
  <c r="E48" i="1"/>
  <c r="G48" i="1" s="1"/>
  <c r="E47" i="1"/>
  <c r="G47" i="1" s="1"/>
  <c r="H47" i="1" s="1"/>
  <c r="E46" i="1"/>
  <c r="G46" i="1" s="1"/>
  <c r="E45" i="1"/>
  <c r="G45" i="1" s="1"/>
  <c r="E44" i="1"/>
  <c r="G44" i="1" s="1"/>
  <c r="J44" i="1" s="1"/>
  <c r="E43" i="1"/>
  <c r="G43" i="1" s="1"/>
  <c r="H43" i="1" s="1"/>
  <c r="E42" i="1"/>
  <c r="E39" i="1"/>
  <c r="G39" i="1" s="1"/>
  <c r="E38" i="1"/>
  <c r="G38" i="1" s="1"/>
  <c r="E36" i="1"/>
  <c r="G36" i="1" s="1"/>
  <c r="J36" i="1" s="1"/>
  <c r="E32" i="1"/>
  <c r="G32" i="1" s="1"/>
  <c r="J32" i="1" s="1"/>
  <c r="E31" i="1"/>
  <c r="G31" i="1" s="1"/>
  <c r="J31" i="1" s="1"/>
  <c r="E30" i="1"/>
  <c r="G30" i="1" s="1"/>
  <c r="E29" i="1"/>
  <c r="G29" i="1" s="1"/>
  <c r="E28" i="1"/>
  <c r="G28" i="1" s="1"/>
  <c r="E27" i="1"/>
  <c r="G27" i="1" s="1"/>
  <c r="J27" i="1" s="1"/>
  <c r="E26" i="1"/>
  <c r="G26" i="1" s="1"/>
  <c r="J26" i="1" s="1"/>
  <c r="E25" i="1"/>
  <c r="G25" i="1" s="1"/>
  <c r="E24" i="1"/>
  <c r="G24" i="1" s="1"/>
  <c r="E23" i="1"/>
  <c r="G23" i="1" s="1"/>
  <c r="H23" i="1" s="1"/>
  <c r="E22" i="1"/>
  <c r="G22" i="1" s="1"/>
  <c r="E20" i="1"/>
  <c r="G20" i="1" s="1"/>
  <c r="E19" i="1"/>
  <c r="E17" i="1"/>
  <c r="G17" i="1" s="1"/>
  <c r="J17" i="1" s="1"/>
  <c r="E16" i="1"/>
  <c r="G16" i="1" s="1"/>
  <c r="E15" i="1"/>
  <c r="G15" i="1" s="1"/>
  <c r="E14" i="1"/>
  <c r="G14" i="1" s="1"/>
  <c r="H14" i="1" s="1"/>
  <c r="G12" i="1"/>
  <c r="H12" i="1" s="1"/>
  <c r="E11" i="1"/>
  <c r="G11" i="1" s="1"/>
  <c r="E8" i="1"/>
  <c r="G8" i="1" s="1"/>
  <c r="H8" i="1" s="1"/>
  <c r="G9" i="1"/>
  <c r="J9" i="1" s="1"/>
  <c r="G10" i="1"/>
  <c r="J10" i="1" s="1"/>
  <c r="G13" i="1"/>
  <c r="J13" i="1" s="1"/>
  <c r="G19" i="1"/>
  <c r="G21" i="1"/>
  <c r="G33" i="1"/>
  <c r="J33" i="1" s="1"/>
  <c r="G34" i="1"/>
  <c r="G35" i="1"/>
  <c r="G37" i="1"/>
  <c r="J37" i="1" s="1"/>
  <c r="G40" i="1"/>
  <c r="J40" i="1" s="1"/>
  <c r="G41" i="1"/>
  <c r="G42" i="1"/>
  <c r="G52" i="1"/>
  <c r="J52" i="1" s="1"/>
  <c r="G53" i="1"/>
  <c r="G61" i="1"/>
  <c r="H61" i="1" s="1"/>
  <c r="G63" i="1"/>
  <c r="J63" i="1" s="1"/>
  <c r="G64" i="1"/>
  <c r="G66" i="1"/>
  <c r="H66" i="1" s="1"/>
  <c r="G67" i="1"/>
  <c r="J67" i="1" s="1"/>
  <c r="G69" i="1"/>
  <c r="G71" i="1"/>
  <c r="H71" i="1" s="1"/>
  <c r="G73" i="1"/>
  <c r="G74" i="1"/>
  <c r="G75" i="1"/>
  <c r="J75" i="1" s="1"/>
  <c r="G77" i="1"/>
  <c r="G78" i="1"/>
  <c r="J78" i="1" s="1"/>
  <c r="G79" i="1"/>
  <c r="G80" i="1"/>
  <c r="G82" i="1"/>
  <c r="J82" i="1" s="1"/>
  <c r="G83" i="1"/>
  <c r="J83" i="1" s="1"/>
  <c r="G84" i="1"/>
  <c r="G85" i="1"/>
  <c r="J85" i="1" s="1"/>
  <c r="G86" i="1"/>
  <c r="G87" i="1"/>
  <c r="G88" i="1"/>
  <c r="J88" i="1" s="1"/>
  <c r="G89" i="1"/>
  <c r="H89" i="1" s="1"/>
  <c r="G90" i="1"/>
  <c r="G91" i="1"/>
  <c r="G92" i="1"/>
  <c r="G93" i="1"/>
  <c r="G94" i="1"/>
  <c r="G95" i="1"/>
  <c r="H95" i="1" s="1"/>
  <c r="G96" i="1"/>
  <c r="J96" i="1" s="1"/>
  <c r="G97" i="1"/>
  <c r="G98" i="1"/>
  <c r="G99" i="1"/>
  <c r="J99" i="1" s="1"/>
  <c r="G100" i="1"/>
  <c r="G101" i="1"/>
  <c r="G102" i="1"/>
  <c r="J102" i="1" s="1"/>
  <c r="G103" i="1"/>
  <c r="J103" i="1" s="1"/>
  <c r="G104" i="1"/>
  <c r="G105" i="1"/>
  <c r="J105" i="1" s="1"/>
  <c r="G106" i="1"/>
  <c r="H106" i="1" s="1"/>
  <c r="G107" i="1"/>
  <c r="J107" i="1" s="1"/>
  <c r="G108" i="1"/>
  <c r="G109" i="1"/>
  <c r="J109" i="1" s="1"/>
  <c r="G110" i="1"/>
  <c r="H110" i="1" s="1"/>
  <c r="G111" i="1"/>
  <c r="J111" i="1" s="1"/>
  <c r="G112" i="1"/>
  <c r="G113" i="1"/>
  <c r="J113" i="1" s="1"/>
  <c r="G114" i="1"/>
  <c r="J114" i="1" s="1"/>
  <c r="G115" i="1"/>
  <c r="J115" i="1" s="1"/>
  <c r="G116" i="1"/>
  <c r="G117" i="1"/>
  <c r="J117" i="1" s="1"/>
  <c r="G118" i="1"/>
  <c r="J118" i="1" s="1"/>
  <c r="G119" i="1"/>
  <c r="J119" i="1" s="1"/>
  <c r="G120" i="1"/>
  <c r="G121" i="1"/>
  <c r="J121" i="1" s="1"/>
  <c r="G122" i="1"/>
  <c r="H122" i="1" s="1"/>
  <c r="G123" i="1"/>
  <c r="J123" i="1" s="1"/>
  <c r="G125" i="1"/>
  <c r="J125" i="1" s="1"/>
  <c r="G126" i="1"/>
  <c r="H126" i="1" s="1"/>
  <c r="G127" i="1"/>
  <c r="J127" i="1" s="1"/>
  <c r="G128" i="1"/>
  <c r="J128" i="1" s="1"/>
  <c r="G129" i="1"/>
  <c r="J129" i="1" s="1"/>
  <c r="G130" i="1"/>
  <c r="H130" i="1" s="1"/>
  <c r="G131" i="1"/>
  <c r="J131" i="1" s="1"/>
  <c r="G132" i="1"/>
  <c r="J132" i="1" s="1"/>
  <c r="G133" i="1"/>
  <c r="J133" i="1" s="1"/>
  <c r="G134" i="1"/>
  <c r="J134" i="1" s="1"/>
  <c r="G135" i="1"/>
  <c r="J135" i="1" s="1"/>
  <c r="G136" i="1"/>
  <c r="J136" i="1" s="1"/>
  <c r="G137" i="1"/>
  <c r="J137" i="1" s="1"/>
  <c r="G138" i="1"/>
  <c r="H138" i="1" s="1"/>
  <c r="G139" i="1"/>
  <c r="J139" i="1" s="1"/>
  <c r="G140" i="1"/>
  <c r="J140" i="1" s="1"/>
  <c r="G141" i="1"/>
  <c r="J141" i="1" s="1"/>
  <c r="G142" i="1"/>
  <c r="H142" i="1" s="1"/>
  <c r="G143" i="1"/>
  <c r="J143" i="1" s="1"/>
  <c r="G144" i="1"/>
  <c r="J144" i="1" s="1"/>
  <c r="G145" i="1"/>
  <c r="J145" i="1" s="1"/>
  <c r="G146" i="1"/>
  <c r="H146" i="1" s="1"/>
  <c r="G147" i="1"/>
  <c r="J147" i="1" s="1"/>
  <c r="G148" i="1"/>
  <c r="J148" i="1" s="1"/>
  <c r="G149" i="1"/>
  <c r="J149" i="1" s="1"/>
  <c r="G150" i="1"/>
  <c r="J150" i="1" s="1"/>
  <c r="G151" i="1"/>
  <c r="J151" i="1" s="1"/>
  <c r="G152" i="1"/>
  <c r="J152" i="1" s="1"/>
  <c r="G153" i="1"/>
  <c r="J153" i="1" s="1"/>
  <c r="G154" i="1"/>
  <c r="H154" i="1" s="1"/>
  <c r="G155" i="1"/>
  <c r="J155" i="1" s="1"/>
  <c r="G156" i="1"/>
  <c r="J156" i="1" s="1"/>
  <c r="G157" i="1"/>
  <c r="J157" i="1" s="1"/>
  <c r="G158" i="1"/>
  <c r="H158" i="1" s="1"/>
  <c r="G159" i="1"/>
  <c r="J159" i="1" s="1"/>
  <c r="G160" i="1"/>
  <c r="J160" i="1" s="1"/>
  <c r="G161" i="1"/>
  <c r="J161" i="1" s="1"/>
  <c r="G162" i="1"/>
  <c r="H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H170" i="1" s="1"/>
  <c r="G171" i="1"/>
  <c r="J171" i="1" s="1"/>
  <c r="G172" i="1"/>
  <c r="J172" i="1" s="1"/>
  <c r="G173" i="1"/>
  <c r="J173" i="1" s="1"/>
  <c r="G174" i="1"/>
  <c r="G175" i="1"/>
  <c r="J175" i="1" s="1"/>
  <c r="G176" i="1"/>
  <c r="J176" i="1" s="1"/>
  <c r="G177" i="1"/>
  <c r="J177" i="1" s="1"/>
  <c r="J92" i="1" l="1"/>
  <c r="H92" i="1"/>
  <c r="J70" i="1"/>
  <c r="H70" i="1"/>
  <c r="J86" i="1"/>
  <c r="H86" i="1"/>
  <c r="J22" i="1"/>
  <c r="H22" i="1"/>
  <c r="J48" i="1"/>
  <c r="H48" i="1"/>
  <c r="J19" i="1"/>
  <c r="H19" i="1"/>
  <c r="J47" i="1"/>
  <c r="H157" i="1"/>
  <c r="H121" i="1"/>
  <c r="H129" i="1"/>
  <c r="H173" i="1"/>
  <c r="H125" i="1"/>
  <c r="H141" i="1"/>
  <c r="H105" i="1"/>
  <c r="H67" i="1"/>
  <c r="H177" i="1"/>
  <c r="H161" i="1"/>
  <c r="H145" i="1"/>
  <c r="H40" i="1"/>
  <c r="J62" i="1"/>
  <c r="H169" i="1"/>
  <c r="H153" i="1"/>
  <c r="H137" i="1"/>
  <c r="H13" i="1"/>
  <c r="H165" i="1"/>
  <c r="H149" i="1"/>
  <c r="H115" i="1"/>
  <c r="H45" i="1"/>
  <c r="J45" i="1"/>
  <c r="H82" i="1"/>
  <c r="H31" i="1"/>
  <c r="J130" i="1"/>
  <c r="H94" i="1"/>
  <c r="J94" i="1"/>
  <c r="J15" i="1"/>
  <c r="H15" i="1"/>
  <c r="J24" i="1"/>
  <c r="H24" i="1"/>
  <c r="J28" i="1"/>
  <c r="H28" i="1"/>
  <c r="H46" i="1"/>
  <c r="J46" i="1"/>
  <c r="H50" i="1"/>
  <c r="J50" i="1"/>
  <c r="H60" i="1"/>
  <c r="J6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19" i="1"/>
  <c r="H114" i="1"/>
  <c r="H109" i="1"/>
  <c r="H103" i="1"/>
  <c r="H96" i="1"/>
  <c r="H85" i="1"/>
  <c r="H72" i="1"/>
  <c r="H59" i="1"/>
  <c r="H52" i="1"/>
  <c r="H44" i="1"/>
  <c r="H27" i="1"/>
  <c r="H10" i="1"/>
  <c r="J174" i="1"/>
  <c r="J158" i="1"/>
  <c r="J142" i="1"/>
  <c r="J126" i="1"/>
  <c r="J110" i="1"/>
  <c r="J95" i="1"/>
  <c r="J71" i="1"/>
  <c r="J43" i="1"/>
  <c r="H65" i="1"/>
  <c r="J65" i="1"/>
  <c r="H49" i="1"/>
  <c r="J49" i="1"/>
  <c r="H75" i="1"/>
  <c r="H55" i="1"/>
  <c r="J146" i="1"/>
  <c r="J14" i="1"/>
  <c r="H101" i="1"/>
  <c r="J101" i="1"/>
  <c r="H90" i="1"/>
  <c r="J90" i="1"/>
  <c r="H80" i="1"/>
  <c r="J80" i="1"/>
  <c r="J77" i="1"/>
  <c r="H74" i="1"/>
  <c r="J74" i="1"/>
  <c r="J66" i="1"/>
  <c r="J64" i="1"/>
  <c r="H42" i="1"/>
  <c r="J42" i="1"/>
  <c r="H35" i="1"/>
  <c r="J35" i="1"/>
  <c r="H120" i="1"/>
  <c r="J120" i="1"/>
  <c r="H116" i="1"/>
  <c r="J116" i="1"/>
  <c r="H112" i="1"/>
  <c r="J112" i="1"/>
  <c r="H108" i="1"/>
  <c r="J108" i="1"/>
  <c r="H104" i="1"/>
  <c r="J104" i="1"/>
  <c r="H100" i="1"/>
  <c r="J100" i="1"/>
  <c r="H97" i="1"/>
  <c r="J97" i="1"/>
  <c r="H93" i="1"/>
  <c r="J93" i="1"/>
  <c r="J89" i="1"/>
  <c r="H84" i="1"/>
  <c r="J84" i="1"/>
  <c r="H79" i="1"/>
  <c r="J79" i="1"/>
  <c r="H76" i="1"/>
  <c r="J76" i="1"/>
  <c r="H73" i="1"/>
  <c r="J73" i="1"/>
  <c r="H69" i="1"/>
  <c r="J69" i="1"/>
  <c r="H41" i="1"/>
  <c r="J41" i="1"/>
  <c r="H34" i="1"/>
  <c r="J34" i="1"/>
  <c r="J11" i="1"/>
  <c r="H11" i="1"/>
  <c r="J16" i="1"/>
  <c r="H16" i="1"/>
  <c r="J20" i="1"/>
  <c r="H20" i="1"/>
  <c r="J25" i="1"/>
  <c r="H25" i="1"/>
  <c r="H29" i="1"/>
  <c r="J29" i="1"/>
  <c r="H57" i="1"/>
  <c r="J57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8" i="1"/>
  <c r="H113" i="1"/>
  <c r="H107" i="1"/>
  <c r="H102" i="1"/>
  <c r="H88" i="1"/>
  <c r="H51" i="1"/>
  <c r="H36" i="1"/>
  <c r="H26" i="1"/>
  <c r="H17" i="1"/>
  <c r="H9" i="1"/>
  <c r="J170" i="1"/>
  <c r="J154" i="1"/>
  <c r="J138" i="1"/>
  <c r="J122" i="1"/>
  <c r="J106" i="1"/>
  <c r="J91" i="1"/>
  <c r="J23" i="1"/>
  <c r="J61" i="1"/>
  <c r="J21" i="1"/>
  <c r="H39" i="1"/>
  <c r="J39" i="1"/>
  <c r="J162" i="1"/>
  <c r="H98" i="1"/>
  <c r="J98" i="1"/>
  <c r="H87" i="1"/>
  <c r="J87" i="1"/>
  <c r="H53" i="1"/>
  <c r="J53" i="1"/>
  <c r="J12" i="1"/>
  <c r="H30" i="1"/>
  <c r="J30" i="1"/>
  <c r="H38" i="1"/>
  <c r="J38" i="1"/>
  <c r="H54" i="1"/>
  <c r="J54" i="1"/>
  <c r="H58" i="1"/>
  <c r="J58" i="1"/>
  <c r="H166" i="1"/>
  <c r="H150" i="1"/>
  <c r="H134" i="1"/>
  <c r="H117" i="1"/>
  <c r="H111" i="1"/>
  <c r="H83" i="1"/>
  <c r="H56" i="1"/>
  <c r="H32" i="1"/>
  <c r="H33" i="1"/>
  <c r="J18" i="1"/>
  <c r="J8" i="1"/>
</calcChain>
</file>

<file path=xl/connections.xml><?xml version="1.0" encoding="utf-8"?>
<connections xmlns="http://schemas.openxmlformats.org/spreadsheetml/2006/main">
  <connection id="1" name="fruver 10-08-2022" type="4" refreshedVersion="0" background="1">
    <webPr xml="1" sourceData="1" url="C:\Users\INVENTARIO-2\Desktop\fruver 10-08-2022.xml" htmlTables="1" htmlFormat="all"/>
  </connection>
</connections>
</file>

<file path=xl/sharedStrings.xml><?xml version="1.0" encoding="utf-8"?>
<sst xmlns="http://schemas.openxmlformats.org/spreadsheetml/2006/main" count="180" uniqueCount="180">
  <si>
    <t>Codigo_Producto</t>
  </si>
  <si>
    <t>Producto</t>
  </si>
  <si>
    <t>PEREJIL RIZADO KG</t>
  </si>
  <si>
    <t>YERBABUENA KG</t>
  </si>
  <si>
    <t>AJO PORRO KG</t>
  </si>
  <si>
    <t>PLATANOS ( USO INTERNO )</t>
  </si>
  <si>
    <t>AJO PELADO KG</t>
  </si>
  <si>
    <t>AJI CONGELADO KG</t>
  </si>
  <si>
    <t>CHAYOTA KG</t>
  </si>
  <si>
    <t>NISPERO KG</t>
  </si>
  <si>
    <t>JOJOTOS HACIENDA EL CAUJARAL 3UND</t>
  </si>
  <si>
    <t>JOJOTOS 4UND HACIENDA EL CAUJARAL</t>
  </si>
  <si>
    <t>MAIZ DULCE 12 UND EL CAUJARAL</t>
  </si>
  <si>
    <t>PIMENTON EXPRESS (R) KG</t>
  </si>
  <si>
    <t>TOMATE CHERRY 300 GR DOS AGUAS</t>
  </si>
  <si>
    <t>CIBOULETTE DOS AGUAS 20 GR</t>
  </si>
  <si>
    <t>ESPINACA DOS AGUAS</t>
  </si>
  <si>
    <t>BOLSA DE ZANAHORIA</t>
  </si>
  <si>
    <t>REMOLACHA EXPRESS KG (R)</t>
  </si>
  <si>
    <t>CALABACIN CONGELADO KG</t>
  </si>
  <si>
    <t>ENELDO FINCA DOS AGUAS 20 GR</t>
  </si>
  <si>
    <t>RUGULA 60 GR FINCA DOS AGUAS</t>
  </si>
  <si>
    <t>CHAMPIÑONES FRESCOS POR BANDEJA</t>
  </si>
  <si>
    <t>ZANAHORIA BEBE 250 GR FINCA DOS AGUAS</t>
  </si>
  <si>
    <t>CALABACINES BB 450 GR DOS AGUAS</t>
  </si>
  <si>
    <t>HOJAS DE LECHUGA 115 GR BABY MIX FINCA DOS AGUAS</t>
  </si>
  <si>
    <t>ALFALFA HIDROPONIA 125 GR</t>
  </si>
  <si>
    <t>NARANJA CRIOLLA KG</t>
  </si>
  <si>
    <t>OCUMO CRIOLLO KG</t>
  </si>
  <si>
    <t>PAPA EN MALLA 2 KG</t>
  </si>
  <si>
    <t>PAPA KG</t>
  </si>
  <si>
    <t>PEREJIL LISO KG</t>
  </si>
  <si>
    <t>PIÑA UND</t>
  </si>
  <si>
    <t>PLATANO EN MALLA</t>
  </si>
  <si>
    <t>PLATANO KG (EXPRESS 2707,MODELO,EXQUISITECES)</t>
  </si>
  <si>
    <t>REPOLLO BLANCO KG</t>
  </si>
  <si>
    <t>REPOLLO MORADO KG</t>
  </si>
  <si>
    <t>TOMATE KG.</t>
  </si>
  <si>
    <t>VAINITA CRIOLLA KG</t>
  </si>
  <si>
    <t>MANZANA ROJA/VERDE /PERA KG</t>
  </si>
  <si>
    <t>MELON KG</t>
  </si>
  <si>
    <t>LECHOZA O PAPAYA KG</t>
  </si>
  <si>
    <t>LECHUGA AMERICANA KG</t>
  </si>
  <si>
    <t>LIMON KG</t>
  </si>
  <si>
    <t>MANDARINA KG</t>
  </si>
  <si>
    <t>GENJIBRE KG</t>
  </si>
  <si>
    <t>GUAYABA KG</t>
  </si>
  <si>
    <t>CILANTRO KG</t>
  </si>
  <si>
    <t>COCO KG</t>
  </si>
  <si>
    <t>CEBOLLA BLANCA KG</t>
  </si>
  <si>
    <t>CEBOLLA MORADA KG</t>
  </si>
  <si>
    <t>CEBOLLIN KG</t>
  </si>
  <si>
    <t>BANDEJA DE JOJOTO EXPRESS 3UND</t>
  </si>
  <si>
    <t>BERENJENA KG</t>
  </si>
  <si>
    <t>CALABACIN KG</t>
  </si>
  <si>
    <t>CAMBUR GUINEO KG</t>
  </si>
  <si>
    <t>AJI DULCE KG</t>
  </si>
  <si>
    <t>AJO EN CONCHA KG</t>
  </si>
  <si>
    <t>AJO PELADO 150 GR EL ANDINITO</t>
  </si>
  <si>
    <t>APIO DE RAIZ KG</t>
  </si>
  <si>
    <t>APIO ESPAÑA/ CELERY KG</t>
  </si>
  <si>
    <t>AUYAMA KG</t>
  </si>
  <si>
    <t>RUGULA 80 GR EL ANDINITO</t>
  </si>
  <si>
    <t>AJO PORRO 300 GR VELANDRIA</t>
  </si>
  <si>
    <t>ALFALFA 125 GR BENATURAL</t>
  </si>
  <si>
    <t>AJI DULCE 150 GR EL ANDINITO</t>
  </si>
  <si>
    <t>VAINITA 400 GR CRIOLLA ANDINITO</t>
  </si>
  <si>
    <t>CEBOLLA 3 KG EN MALLA</t>
  </si>
  <si>
    <t>BERRO ATADO 400GR EL ANDINITO</t>
  </si>
  <si>
    <t>OCUMO CHINO KG</t>
  </si>
  <si>
    <t>BATATA KG</t>
  </si>
  <si>
    <t>GUANABANA KG</t>
  </si>
  <si>
    <t>ÑAME KG</t>
  </si>
  <si>
    <t>MANGA KG</t>
  </si>
  <si>
    <t>ZANAHORIA  KG</t>
  </si>
  <si>
    <t>REMOLACHA KG</t>
  </si>
  <si>
    <t>PAPA COLOMBIANA KG</t>
  </si>
  <si>
    <t>AJI PICANTE KG</t>
  </si>
  <si>
    <t>LECHUGA ROMANA KG</t>
  </si>
  <si>
    <t>VERDURA SURTIDA CONGELADA</t>
  </si>
  <si>
    <t>PIMENTON KG</t>
  </si>
  <si>
    <t>PATILLA KG</t>
  </si>
  <si>
    <t>PEPINO KG</t>
  </si>
  <si>
    <t>PARCHITA KG</t>
  </si>
  <si>
    <t>AGUACATE CHOQUETTE KG</t>
  </si>
  <si>
    <t>LECHUGA CRIOLLA KG</t>
  </si>
  <si>
    <t>BROCOLI KG</t>
  </si>
  <si>
    <t>YUCA KG</t>
  </si>
  <si>
    <t>COLIFLOR KG</t>
  </si>
  <si>
    <t>ACELGA KG</t>
  </si>
  <si>
    <t>ALIÑO SURTIDO KG EXPRESS</t>
  </si>
  <si>
    <t>GUANABANA CONGELADA KG</t>
  </si>
  <si>
    <t>TOMATE EN MALLA  (SAN PEDRO)</t>
  </si>
  <si>
    <t>VERDURA SURTIDA EN MALLA 3 KG</t>
  </si>
  <si>
    <t>VERDURA KG.</t>
  </si>
  <si>
    <t>BOLSA DE TOMATES PARA SALSA</t>
  </si>
  <si>
    <t>ESPINACA KG</t>
  </si>
  <si>
    <t>CEBOLLIN 300 GR ATADO VELANDRIA</t>
  </si>
  <si>
    <t>TOMATE CHERRY 300GR EL ANDINITO</t>
  </si>
  <si>
    <t>GERMINADO CHINO 100 GR BENATURAL</t>
  </si>
  <si>
    <t>RABANO KG</t>
  </si>
  <si>
    <t>BERRO UND</t>
  </si>
  <si>
    <t>TOMATE CHERRY 285 GR DE LOS PRIMOS</t>
  </si>
  <si>
    <t>CONCENTRADO MANGO 500 ML</t>
  </si>
  <si>
    <t>APIO DE RAIZ EXPRESS KG (R)</t>
  </si>
  <si>
    <t>BERENJENA CONGELADA KG</t>
  </si>
  <si>
    <t>MANZANA VERDE/GALA KG</t>
  </si>
  <si>
    <t>ALFALFA 125 GR EL ANDINITO</t>
  </si>
  <si>
    <t>AJO CONGELADO KG</t>
  </si>
  <si>
    <t>SALCHICHA CRUDA MONT (MINISTERIO)</t>
  </si>
  <si>
    <t>ALFALFA</t>
  </si>
  <si>
    <t>RUGULA 60 GR DE LOS PRIMOS</t>
  </si>
  <si>
    <t>FRESAS FRESCAS EN BANDEJA</t>
  </si>
  <si>
    <t>VAINITA AMERICANA KG</t>
  </si>
  <si>
    <t>AJI DULCE AMARILLO (MINISTERIO)</t>
  </si>
  <si>
    <t>AJI PICANTE ROCOTO KG (MINISTERIO)</t>
  </si>
  <si>
    <t>AGUACATE KG (MINISTERIO)</t>
  </si>
  <si>
    <t>PEREJIL RIZADO MINISTERIO KG</t>
  </si>
  <si>
    <t>LECHUGAS AMERICANA MINISTERIO KG</t>
  </si>
  <si>
    <t>BROCOLI MINISTERIO KG</t>
  </si>
  <si>
    <t>LECHUGA ROMANA MINISTERIO KG</t>
  </si>
  <si>
    <t>CHAMPIÑONES FRESCOS 300 GR LA NIEBLA</t>
  </si>
  <si>
    <t>PAPA PELADA AL VACIO KG</t>
  </si>
  <si>
    <t>COLIFLOR (MINISTERIO)</t>
  </si>
  <si>
    <t>CELERY O APIO ESPAÑA (MINISTERIO)</t>
  </si>
  <si>
    <t>CEBOLLIN (MINISTERIO)</t>
  </si>
  <si>
    <t>BERENJENA (MINISTERIO)</t>
  </si>
  <si>
    <t>AJO PORRO (MINISTERIO)</t>
  </si>
  <si>
    <t>RADICHO KG</t>
  </si>
  <si>
    <t>LECHUGA CRIOLLA ( MINISTERIO )</t>
  </si>
  <si>
    <t>MELON MINIST KG</t>
  </si>
  <si>
    <t>PIÑA MINIST UND</t>
  </si>
  <si>
    <t>REMOLACHA MINIST KG</t>
  </si>
  <si>
    <t>KIWI MINST KG</t>
  </si>
  <si>
    <t>MANGO MINIST KG</t>
  </si>
  <si>
    <t>CILANTRO MINIST KG</t>
  </si>
  <si>
    <t>MANZANA MINIST</t>
  </si>
  <si>
    <t>CAMBUR MINIST</t>
  </si>
  <si>
    <t>PAPA COLOMBIANA MINIST KG</t>
  </si>
  <si>
    <t>VAINITA MINIST KG</t>
  </si>
  <si>
    <t>PIMENTON LARGO KG</t>
  </si>
  <si>
    <t>ALBAHACA FRUTIAGRO</t>
  </si>
  <si>
    <t>AJI AMARILLO PERUANO  MINIST</t>
  </si>
  <si>
    <t>ALBAHACA KG MINISTERIO</t>
  </si>
  <si>
    <t>TOMATES CHERRY 300 GR DOS AGUAS</t>
  </si>
  <si>
    <t>PIMENTON AMARILLO KG</t>
  </si>
  <si>
    <t>HONGOS LA NIEBLA</t>
  </si>
  <si>
    <t>ALBAHACA 30 GR DE LOS PRIMOS</t>
  </si>
  <si>
    <t>DURAZNO JARILLAZO KG</t>
  </si>
  <si>
    <t>NABO KG</t>
  </si>
  <si>
    <t>PEPINILLO KG</t>
  </si>
  <si>
    <t>BERENJENAS FINCA DOS AGUAS</t>
  </si>
  <si>
    <t>CELERY FINCA DOS AGUAS</t>
  </si>
  <si>
    <t>MORAS KG MINISTERIO</t>
  </si>
  <si>
    <t>PEPINO MINISTERIO</t>
  </si>
  <si>
    <t>LECHUGA BB MINIST</t>
  </si>
  <si>
    <t>TOMATE CHERRY MINIST</t>
  </si>
  <si>
    <t>BERROS 60 GR FINCA DOS AGUAS</t>
  </si>
  <si>
    <t>CALABACIN BB MINISTERIO</t>
  </si>
  <si>
    <t>MANOJO ESPINACA UND</t>
  </si>
  <si>
    <t>RUGULA 80 GR FRUTIAGRO</t>
  </si>
  <si>
    <t>ESPINACA MINISTERIO</t>
  </si>
  <si>
    <t>ALBAHACA 30 GR MINISTERIO</t>
  </si>
  <si>
    <t>VAINITA (MINISTERIO)</t>
  </si>
  <si>
    <t>ZANAHORIA BB (MINISTERIO)</t>
  </si>
  <si>
    <t>ENELDO 20 GR (MINISTERIO)</t>
  </si>
  <si>
    <t>ZAPOTE  KG</t>
  </si>
  <si>
    <t>MAMON KG</t>
  </si>
  <si>
    <t>ALBAHACA ( MINIST) UND</t>
  </si>
  <si>
    <t>NESTEA DURAZNO (MINIST)</t>
  </si>
  <si>
    <t>NESTEA LIMON (MINIST)</t>
  </si>
  <si>
    <t>Sistema</t>
  </si>
  <si>
    <t>Fisico</t>
  </si>
  <si>
    <t>Diferencia</t>
  </si>
  <si>
    <t>Ventas</t>
  </si>
  <si>
    <t>Recepcion</t>
  </si>
  <si>
    <t>Mermas</t>
  </si>
  <si>
    <t xml:space="preserve">Costo </t>
  </si>
  <si>
    <t>Total</t>
  </si>
  <si>
    <t>PAPELON PANELA 450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</si>
</sst>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9" fontId="0" fillId="0" borderId="0" xfId="1" applyFont="1"/>
    <xf numFmtId="2" fontId="0" fillId="0" borderId="0" xfId="0" applyNumberFormat="1"/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3" fillId="3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0" borderId="1" xfId="0" applyBorder="1"/>
  </cellXfs>
  <cellStyles count="2">
    <cellStyle name="Normal" xfId="0" builtinId="0"/>
    <cellStyle name="Porcentaje" xfId="1" builtinId="5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1893794</xdr:colOff>
      <xdr:row>1</xdr:row>
      <xdr:rowOff>89647</xdr:rowOff>
    </xdr:from>
    <xdr:to>
      <xdr:col>7</xdr:col>
      <xdr:colOff>0</xdr:colOff>
      <xdr:row>4</xdr:row>
      <xdr:rowOff>179294</xdr:rowOff>
    </xdr:to>
    <xdr:sp macro="" textlink="">
      <xdr:nvSpPr>
        <xdr:cNvPr id="2" name="CuadroTexto 1"/>
        <xdr:cNvSpPr txBox="1"/>
      </xdr:nvSpPr>
      <xdr:spPr>
        <a:xfrm>
          <a:off x="3137647" y="280147"/>
          <a:ext cx="4482353" cy="661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VE" sz="1400">
              <a:latin typeface="Arial" panose="020B0604020202020204" pitchFamily="34" charset="0"/>
              <a:cs typeface="Arial" panose="020B0604020202020204" pitchFamily="34" charset="0"/>
            </a:rPr>
            <a:t>CUADRO</a:t>
          </a:r>
          <a:r>
            <a:rPr lang="es-VE" sz="1400" baseline="0">
              <a:latin typeface="Arial" panose="020B0604020202020204" pitchFamily="34" charset="0"/>
              <a:cs typeface="Arial" panose="020B0604020202020204" pitchFamily="34" charset="0"/>
            </a:rPr>
            <a:t> DE PERDIDA EN MERMAS DE FRUVER EN UN LAPSO DEL 03/08/2022 AL 10/08/2022.</a:t>
          </a:r>
          <a:endParaRPr lang="es-VE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7:J177" tableType="xml" totalsRowShown="0" connectionId="1">
  <autoFilter ref="A7:J177">
    <filterColumn colId="2">
      <filters blank="1">
        <filter val="0.165"/>
        <filter val="0.26"/>
        <filter val="0.46"/>
        <filter val="0.555"/>
        <filter val="0.585"/>
        <filter val="0.605"/>
        <filter val="0.64"/>
        <filter val="0.655"/>
        <filter val="0.745"/>
        <filter val="0.88"/>
        <filter val="1"/>
        <filter val="10.96"/>
        <filter val="103.727"/>
        <filter val="11.75"/>
        <filter val="112.85"/>
        <filter val="115.58"/>
        <filter val="12"/>
        <filter val="120.39"/>
        <filter val="125.625"/>
        <filter val="128.35"/>
        <filter val="13"/>
        <filter val="13.06"/>
        <filter val="13.075"/>
        <filter val="13.32"/>
        <filter val="13.68"/>
        <filter val="130.53"/>
        <filter val="134.7"/>
        <filter val="14"/>
        <filter val="14.8"/>
        <filter val="16.205"/>
        <filter val="16.515"/>
        <filter val="165.41"/>
        <filter val="17.905"/>
        <filter val="172.365"/>
        <filter val="173.71"/>
        <filter val="18.8"/>
        <filter val="19.695"/>
        <filter val="2.075"/>
        <filter val="2.4"/>
        <filter val="2.42"/>
        <filter val="2.495"/>
        <filter val="2.655"/>
        <filter val="2.78"/>
        <filter val="20"/>
        <filter val="200.83"/>
        <filter val="207.965"/>
        <filter val="21.425"/>
        <filter val="214.485"/>
        <filter val="23.52"/>
        <filter val="24.8"/>
        <filter val="26.795"/>
        <filter val="27.715"/>
        <filter val="273.74"/>
        <filter val="28.035"/>
        <filter val="28.395"/>
        <filter val="3.2"/>
        <filter val="3.26"/>
        <filter val="33.285"/>
        <filter val="35.19"/>
        <filter val="354.57"/>
        <filter val="37.325"/>
        <filter val="39.28"/>
        <filter val="4"/>
        <filter val="4.72"/>
        <filter val="4.895"/>
        <filter val="40.13"/>
        <filter val="42.43"/>
        <filter val="43.75"/>
        <filter val="44.75"/>
        <filter val="48.77"/>
        <filter val="5"/>
        <filter val="5.13"/>
        <filter val="5.135"/>
        <filter val="5.2"/>
        <filter val="5.74"/>
        <filter val="5.765"/>
        <filter val="53"/>
        <filter val="56.865"/>
        <filter val="57.185"/>
        <filter val="57.55"/>
        <filter val="59.53"/>
        <filter val="59.94"/>
        <filter val="59.945"/>
        <filter val="6"/>
        <filter val="6.17"/>
        <filter val="6.72"/>
        <filter val="6.92"/>
        <filter val="60.38"/>
        <filter val="60.815"/>
        <filter val="61"/>
        <filter val="610.57"/>
        <filter val="63.92"/>
        <filter val="64.355"/>
        <filter val="67.775"/>
        <filter val="7"/>
        <filter val="718"/>
        <filter val="72.7"/>
        <filter val="74.77"/>
        <filter val="77.71"/>
        <filter val="8.2"/>
        <filter val="8.835"/>
        <filter val="82.54"/>
        <filter val="87.09"/>
        <filter val="876.8"/>
        <filter val="9"/>
        <filter val="95"/>
        <filter val="95.51"/>
      </filters>
    </filterColumn>
  </autoFilter>
  <sortState ref="A2:J202">
    <sortCondition ref="A1:A202"/>
  </sortState>
  <tableColumns count="10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12" uniqueName="12" name="Recepcion"/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double"/>
    </tableColumn>
    <tableColumn id="11" uniqueName="Comprometida" name="Diferencia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13" uniqueName="13" name="Mermas" dataCellStyle="Porcentaje">
      <calculatedColumnFormula>Tabla1[[#This Row],[Diferencia]]/Tabla1[[#This Row],[Recepcion]]</calculatedColumnFormula>
    </tableColumn>
    <tableColumn id="14" uniqueName="14" name="Costo "/>
    <tableColumn id="15" uniqueName="15" name="Total" dataDxfId="0">
      <calculatedColumnFormula>Tabla1[[#This Row],[Costo ]]*Tabla1[[#This Row],[Diferencia]]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78"/>
  <sheetViews>
    <sheetView tabSelected="1" zoomScale="85" zoomScaleNormal="85" workbookViewId="0">
      <selection activeCell="A174" sqref="A6:A174"/>
    </sheetView>
  </sheetViews>
  <sheetFormatPr baseColWidth="10" defaultRowHeight="15" x14ac:dyDescent="0.25"/>
  <cols>
    <col min="1" max="1" width="16.42578125" customWidth="1"/>
    <col min="2" max="2" width="45.28515625" bestFit="1" customWidth="1"/>
    <col min="3" max="3" width="11.42578125" customWidth="1"/>
    <col min="4" max="4" width="10.5703125" customWidth="1"/>
    <col min="5" max="5" width="8.7109375" customWidth="1"/>
    <col min="6" max="6" width="7" customWidth="1"/>
    <col min="7" max="7" width="12.5703125" customWidth="1"/>
    <col min="8" max="8" width="8" customWidth="1"/>
    <col min="9" max="9" width="8.42578125" customWidth="1"/>
    <col min="10" max="10" width="7.28515625" customWidth="1"/>
  </cols>
  <sheetData>
    <row r="6" spans="1:10" x14ac:dyDescent="0.25">
      <c r="A6" s="14"/>
    </row>
    <row r="7" spans="1:10" x14ac:dyDescent="0.25">
      <c r="A7" s="14" t="s">
        <v>0</v>
      </c>
      <c r="B7" s="12" t="s">
        <v>1</v>
      </c>
      <c r="C7" s="5" t="s">
        <v>171</v>
      </c>
      <c r="D7" s="5" t="s">
        <v>175</v>
      </c>
      <c r="E7" s="5" t="s">
        <v>172</v>
      </c>
      <c r="F7" s="5" t="s">
        <v>174</v>
      </c>
      <c r="G7" s="5" t="s">
        <v>173</v>
      </c>
      <c r="H7" s="5" t="s">
        <v>176</v>
      </c>
      <c r="I7" s="5" t="s">
        <v>177</v>
      </c>
      <c r="J7" s="5" t="s">
        <v>178</v>
      </c>
    </row>
    <row r="8" spans="1:10" x14ac:dyDescent="0.25">
      <c r="A8" s="14">
        <v>1</v>
      </c>
      <c r="B8" s="13" t="s">
        <v>61</v>
      </c>
      <c r="C8" s="6">
        <v>207.965</v>
      </c>
      <c r="D8" s="6">
        <v>383.52</v>
      </c>
      <c r="E8" s="6">
        <f>204.4-26</f>
        <v>178.4</v>
      </c>
      <c r="F8" s="6">
        <v>0</v>
      </c>
      <c r="G8" s="6">
        <f>Tabla1[[#This Row],[Ventas]]+Tabla1[[#This Row],[Fisico]]-Tabla1[[#This Row],[Sistema]]</f>
        <v>-29.564999999999998</v>
      </c>
      <c r="H8" s="7">
        <f>Tabla1[[#This Row],[Diferencia]]/Tabla1[[#This Row],[Recepcion]]</f>
        <v>-7.7088548185231531E-2</v>
      </c>
      <c r="I8" s="6">
        <v>0.18</v>
      </c>
      <c r="J8" s="8">
        <f>Tabla1[[#This Row],[Costo ]]*Tabla1[[#This Row],[Diferencia]]</f>
        <v>-5.321699999999999</v>
      </c>
    </row>
    <row r="9" spans="1:10" x14ac:dyDescent="0.25">
      <c r="A9" s="14">
        <v>2</v>
      </c>
      <c r="B9" s="13" t="s">
        <v>57</v>
      </c>
      <c r="C9" s="6">
        <v>0.88</v>
      </c>
      <c r="D9" s="6">
        <v>15</v>
      </c>
      <c r="E9" s="6">
        <v>1.68</v>
      </c>
      <c r="F9" s="6">
        <v>0.05</v>
      </c>
      <c r="G9" s="6">
        <f>Tabla1[[#This Row],[Ventas]]+Tabla1[[#This Row],[Fisico]]-Tabla1[[#This Row],[Sistema]]</f>
        <v>0.85</v>
      </c>
      <c r="H9" s="7">
        <f>Tabla1[[#This Row],[Diferencia]]/Tabla1[[#This Row],[Recepcion]]</f>
        <v>5.6666666666666664E-2</v>
      </c>
      <c r="I9" s="6">
        <v>4.8</v>
      </c>
      <c r="J9" s="8">
        <f>Tabla1[[#This Row],[Costo ]]*Tabla1[[#This Row],[Diferencia]]</f>
        <v>4.08</v>
      </c>
    </row>
    <row r="10" spans="1:10" x14ac:dyDescent="0.25">
      <c r="A10" s="14">
        <v>3</v>
      </c>
      <c r="B10" s="13" t="s">
        <v>6</v>
      </c>
      <c r="C10" s="6">
        <v>0.60499999999999998</v>
      </c>
      <c r="D10" s="6">
        <v>10</v>
      </c>
      <c r="E10" s="6">
        <v>0</v>
      </c>
      <c r="F10" s="6">
        <v>0</v>
      </c>
      <c r="G10" s="6">
        <f>Tabla1[[#This Row],[Ventas]]+Tabla1[[#This Row],[Fisico]]-Tabla1[[#This Row],[Sistema]]</f>
        <v>-0.60499999999999998</v>
      </c>
      <c r="H10" s="7">
        <f>Tabla1[[#This Row],[Diferencia]]/Tabla1[[#This Row],[Recepcion]]</f>
        <v>-6.0499999999999998E-2</v>
      </c>
      <c r="I10" s="6">
        <v>5</v>
      </c>
      <c r="J10" s="8">
        <f>Tabla1[[#This Row],[Costo ]]*Tabla1[[#This Row],[Diferencia]]</f>
        <v>-3.0249999999999999</v>
      </c>
    </row>
    <row r="11" spans="1:10" x14ac:dyDescent="0.25">
      <c r="A11" s="14">
        <v>4</v>
      </c>
      <c r="B11" s="13" t="s">
        <v>56</v>
      </c>
      <c r="C11" s="6">
        <v>40.130000000000003</v>
      </c>
      <c r="D11" s="6">
        <f>86.8+24.4</f>
        <v>111.19999999999999</v>
      </c>
      <c r="E11" s="6">
        <f>67.4-6.6-5.2</f>
        <v>55.6</v>
      </c>
      <c r="F11" s="6">
        <v>0.27</v>
      </c>
      <c r="G11" s="6">
        <f>Tabla1[[#This Row],[Ventas]]+Tabla1[[#This Row],[Fisico]]-Tabla1[[#This Row],[Sistema]]</f>
        <v>15.740000000000002</v>
      </c>
      <c r="H11" s="7">
        <f>Tabla1[[#This Row],[Diferencia]]/Tabla1[[#This Row],[Recepcion]]</f>
        <v>0.1415467625899281</v>
      </c>
      <c r="I11" s="6">
        <v>0.86</v>
      </c>
      <c r="J11" s="8">
        <f>Tabla1[[#This Row],[Costo ]]*Tabla1[[#This Row],[Diferencia]]</f>
        <v>13.536400000000002</v>
      </c>
    </row>
    <row r="12" spans="1:10" x14ac:dyDescent="0.25">
      <c r="A12" s="14">
        <v>5</v>
      </c>
      <c r="B12" s="13" t="s">
        <v>77</v>
      </c>
      <c r="C12" s="6">
        <v>2.6549999999999998</v>
      </c>
      <c r="D12" s="6">
        <v>4.8</v>
      </c>
      <c r="E12" s="6">
        <f>5.4-2.6</f>
        <v>2.8000000000000003</v>
      </c>
      <c r="F12" s="6">
        <v>0</v>
      </c>
      <c r="G12" s="6">
        <f>Tabla1[[#This Row],[Ventas]]+Tabla1[[#This Row],[Fisico]]-Tabla1[[#This Row],[Sistema]]</f>
        <v>0.14500000000000046</v>
      </c>
      <c r="H12" s="7">
        <f>Tabla1[[#This Row],[Diferencia]]/Tabla1[[#This Row],[Recepcion]]</f>
        <v>3.0208333333333431E-2</v>
      </c>
      <c r="I12" s="6">
        <v>2</v>
      </c>
      <c r="J12" s="8">
        <f>Tabla1[[#This Row],[Costo ]]*Tabla1[[#This Row],[Diferencia]]</f>
        <v>0.29000000000000092</v>
      </c>
    </row>
    <row r="13" spans="1:10" x14ac:dyDescent="0.25">
      <c r="A13" s="14">
        <v>6</v>
      </c>
      <c r="B13" s="13" t="s">
        <v>4</v>
      </c>
      <c r="C13" s="6">
        <v>19.695</v>
      </c>
      <c r="D13" s="6">
        <f>27.8+14.2</f>
        <v>42</v>
      </c>
      <c r="E13" s="6">
        <v>6.8</v>
      </c>
      <c r="F13" s="6">
        <v>0</v>
      </c>
      <c r="G13" s="6">
        <f>Tabla1[[#This Row],[Ventas]]+Tabla1[[#This Row],[Fisico]]-Tabla1[[#This Row],[Sistema]]</f>
        <v>-12.895</v>
      </c>
      <c r="H13" s="7">
        <f>Tabla1[[#This Row],[Diferencia]]/Tabla1[[#This Row],[Recepcion]]</f>
        <v>-0.30702380952380953</v>
      </c>
      <c r="I13" s="6">
        <v>2.72</v>
      </c>
      <c r="J13" s="8">
        <f>Tabla1[[#This Row],[Costo ]]*Tabla1[[#This Row],[Diferencia]]</f>
        <v>-35.074400000000004</v>
      </c>
    </row>
    <row r="14" spans="1:10" x14ac:dyDescent="0.25">
      <c r="A14" s="14">
        <v>7</v>
      </c>
      <c r="B14" s="13" t="s">
        <v>51</v>
      </c>
      <c r="C14" s="6">
        <v>42.43</v>
      </c>
      <c r="D14" s="6">
        <f>106+22.2</f>
        <v>128.19999999999999</v>
      </c>
      <c r="E14" s="6">
        <f>20.4+17.6-5.2-4.4</f>
        <v>28.4</v>
      </c>
      <c r="F14" s="6">
        <v>0.31</v>
      </c>
      <c r="G14" s="6">
        <f>Tabla1[[#This Row],[Ventas]]+Tabla1[[#This Row],[Fisico]]-Tabla1[[#This Row],[Sistema]]</f>
        <v>-13.720000000000002</v>
      </c>
      <c r="H14" s="7">
        <f>Tabla1[[#This Row],[Diferencia]]/Tabla1[[#This Row],[Recepcion]]</f>
        <v>-0.10702028081123248</v>
      </c>
      <c r="I14" s="6">
        <v>1.2</v>
      </c>
      <c r="J14" s="8">
        <f>Tabla1[[#This Row],[Costo ]]*Tabla1[[#This Row],[Diferencia]]</f>
        <v>-16.464000000000002</v>
      </c>
    </row>
    <row r="15" spans="1:10" x14ac:dyDescent="0.25">
      <c r="A15" s="14">
        <v>8</v>
      </c>
      <c r="B15" s="13" t="s">
        <v>60</v>
      </c>
      <c r="C15" s="6">
        <v>13.06</v>
      </c>
      <c r="D15" s="6">
        <f>47.8+2.6</f>
        <v>50.4</v>
      </c>
      <c r="E15" s="6">
        <f>5.6-2.6</f>
        <v>2.9999999999999996</v>
      </c>
      <c r="F15" s="6">
        <v>0</v>
      </c>
      <c r="G15" s="6">
        <f>Tabla1[[#This Row],[Ventas]]+Tabla1[[#This Row],[Fisico]]-Tabla1[[#This Row],[Sistema]]</f>
        <v>-10.06</v>
      </c>
      <c r="H15" s="7">
        <f>Tabla1[[#This Row],[Diferencia]]/Tabla1[[#This Row],[Recepcion]]</f>
        <v>-0.19960317460317462</v>
      </c>
      <c r="I15" s="6">
        <v>1.92</v>
      </c>
      <c r="J15" s="8">
        <f>Tabla1[[#This Row],[Costo ]]*Tabla1[[#This Row],[Diferencia]]</f>
        <v>-19.315200000000001</v>
      </c>
    </row>
    <row r="16" spans="1:10" x14ac:dyDescent="0.25">
      <c r="A16" s="14">
        <v>9</v>
      </c>
      <c r="B16" s="13" t="s">
        <v>49</v>
      </c>
      <c r="C16" s="6">
        <v>876.8</v>
      </c>
      <c r="D16" s="6">
        <v>1335.92</v>
      </c>
      <c r="E16" s="6">
        <f>943.4-77</f>
        <v>866.4</v>
      </c>
      <c r="F16" s="6">
        <v>1.1499999999999999</v>
      </c>
      <c r="G16" s="6">
        <f>Tabla1[[#This Row],[Ventas]]+Tabla1[[#This Row],[Fisico]]-Tabla1[[#This Row],[Sistema]]</f>
        <v>-9.25</v>
      </c>
      <c r="H16" s="7">
        <f>Tabla1[[#This Row],[Diferencia]]/Tabla1[[#This Row],[Recepcion]]</f>
        <v>-6.924067309419725E-3</v>
      </c>
      <c r="I16" s="6">
        <v>0.9</v>
      </c>
      <c r="J16" s="8">
        <f>Tabla1[[#This Row],[Costo ]]*Tabla1[[#This Row],[Diferencia]]</f>
        <v>-8.3250000000000011</v>
      </c>
    </row>
    <row r="17" spans="1:10" x14ac:dyDescent="0.25">
      <c r="A17" s="14">
        <v>10</v>
      </c>
      <c r="B17" s="13" t="s">
        <v>50</v>
      </c>
      <c r="C17" s="6">
        <v>130.53</v>
      </c>
      <c r="D17" s="6">
        <v>172.6</v>
      </c>
      <c r="E17" s="6">
        <f>139.2-13</f>
        <v>126.19999999999999</v>
      </c>
      <c r="F17" s="6">
        <v>0</v>
      </c>
      <c r="G17" s="6">
        <f>Tabla1[[#This Row],[Ventas]]+Tabla1[[#This Row],[Fisico]]-Tabla1[[#This Row],[Sistema]]</f>
        <v>-4.3300000000000125</v>
      </c>
      <c r="H17" s="7">
        <f>Tabla1[[#This Row],[Diferencia]]/Tabla1[[#This Row],[Recepcion]]</f>
        <v>-2.5086906141367396E-2</v>
      </c>
      <c r="I17" s="6">
        <v>1.47</v>
      </c>
      <c r="J17" s="8">
        <f>Tabla1[[#This Row],[Costo ]]*Tabla1[[#This Row],[Diferencia]]</f>
        <v>-6.3651000000000186</v>
      </c>
    </row>
    <row r="18" spans="1:10" x14ac:dyDescent="0.25">
      <c r="A18" s="14">
        <v>11</v>
      </c>
      <c r="B18" s="13" t="s">
        <v>30</v>
      </c>
      <c r="C18" s="6">
        <v>610.57000000000005</v>
      </c>
      <c r="D18" s="6">
        <v>956.4</v>
      </c>
      <c r="E18" s="6">
        <f>582.6-23.4-19.8+24</f>
        <v>563.40000000000009</v>
      </c>
      <c r="F18" s="6">
        <v>0</v>
      </c>
      <c r="G18" s="6">
        <f>Tabla1[[#This Row],[Ventas]]+Tabla1[[#This Row],[Fisico]]-Tabla1[[#This Row],[Sistema]]</f>
        <v>-47.169999999999959</v>
      </c>
      <c r="H18" s="7">
        <f>Tabla1[[#This Row],[Diferencia]]/Tabla1[[#This Row],[Recepcion]]</f>
        <v>-4.9320368046842283E-2</v>
      </c>
      <c r="I18" s="6">
        <v>0.73</v>
      </c>
      <c r="J18" s="8">
        <f>Tabla1[[#This Row],[Costo ]]*Tabla1[[#This Row],[Diferencia]]</f>
        <v>-34.434099999999972</v>
      </c>
    </row>
    <row r="19" spans="1:10" x14ac:dyDescent="0.25">
      <c r="A19" s="14">
        <v>12</v>
      </c>
      <c r="B19" s="13" t="s">
        <v>59</v>
      </c>
      <c r="C19" s="6">
        <v>56.865000000000002</v>
      </c>
      <c r="D19" s="6">
        <v>14.4</v>
      </c>
      <c r="E19" s="6">
        <f>64.6-7.8</f>
        <v>56.8</v>
      </c>
      <c r="F19" s="6">
        <v>0</v>
      </c>
      <c r="G19" s="6">
        <f>Tabla1[[#This Row],[Ventas]]+Tabla1[[#This Row],[Fisico]]-Tabla1[[#This Row],[Sistema]]</f>
        <v>-6.5000000000004832E-2</v>
      </c>
      <c r="H19" s="7">
        <f>Tabla1[[#This Row],[Diferencia]]/Tabla1[[#This Row],[Recepcion]]</f>
        <v>-4.5138888888892241E-3</v>
      </c>
      <c r="I19" s="6">
        <v>0.85</v>
      </c>
      <c r="J19" s="8">
        <f>Tabla1[[#This Row],[Costo ]]*Tabla1[[#This Row],[Diferencia]]</f>
        <v>-5.5250000000004108E-2</v>
      </c>
    </row>
    <row r="20" spans="1:10" x14ac:dyDescent="0.25">
      <c r="A20" s="4">
        <v>13</v>
      </c>
      <c r="B20" s="13" t="s">
        <v>28</v>
      </c>
      <c r="C20" s="6">
        <v>59.53</v>
      </c>
      <c r="D20" s="6">
        <f>36.8+41.6</f>
        <v>78.400000000000006</v>
      </c>
      <c r="E20" s="6">
        <f>41.2-4.4</f>
        <v>36.800000000000004</v>
      </c>
      <c r="F20" s="6">
        <v>0</v>
      </c>
      <c r="G20" s="6">
        <f>Tabla1[[#This Row],[Ventas]]+Tabla1[[#This Row],[Fisico]]-Tabla1[[#This Row],[Sistema]]</f>
        <v>-22.729999999999997</v>
      </c>
      <c r="H20" s="7">
        <f>Tabla1[[#This Row],[Diferencia]]/Tabla1[[#This Row],[Recepcion]]</f>
        <v>-0.28992346938775504</v>
      </c>
      <c r="I20" s="6">
        <v>1.3</v>
      </c>
      <c r="J20" s="8">
        <f>Tabla1[[#This Row],[Costo ]]*Tabla1[[#This Row],[Diferencia]]</f>
        <v>-29.548999999999996</v>
      </c>
    </row>
    <row r="21" spans="1:10" x14ac:dyDescent="0.25">
      <c r="A21" s="4">
        <v>14</v>
      </c>
      <c r="B21" s="13" t="s">
        <v>69</v>
      </c>
      <c r="C21" s="6">
        <v>57.185000000000002</v>
      </c>
      <c r="D21" s="6">
        <v>0</v>
      </c>
      <c r="E21" s="6">
        <v>0</v>
      </c>
      <c r="F21" s="6">
        <v>0</v>
      </c>
      <c r="G21" s="6">
        <f>Tabla1[[#This Row],[Ventas]]+Tabla1[[#This Row],[Fisico]]-Tabla1[[#This Row],[Sistema]]</f>
        <v>-57.185000000000002</v>
      </c>
      <c r="H21" s="7">
        <v>0</v>
      </c>
      <c r="I21" s="6">
        <v>1.03</v>
      </c>
      <c r="J21" s="8">
        <f>Tabla1[[#This Row],[Costo ]]*Tabla1[[#This Row],[Diferencia]]</f>
        <v>-58.900550000000003</v>
      </c>
    </row>
    <row r="22" spans="1:10" x14ac:dyDescent="0.25">
      <c r="A22" s="14">
        <v>15</v>
      </c>
      <c r="B22" s="13" t="s">
        <v>70</v>
      </c>
      <c r="C22" s="6">
        <v>74.77</v>
      </c>
      <c r="D22" s="6">
        <v>89.6</v>
      </c>
      <c r="E22" s="6">
        <f>26+42.8-4.4-2.6</f>
        <v>61.79999999999999</v>
      </c>
      <c r="F22" s="6">
        <v>0</v>
      </c>
      <c r="G22" s="6">
        <f>Tabla1[[#This Row],[Ventas]]+Tabla1[[#This Row],[Fisico]]-Tabla1[[#This Row],[Sistema]]</f>
        <v>-12.970000000000006</v>
      </c>
      <c r="H22" s="7">
        <f>Tabla1[[#This Row],[Diferencia]]/Tabla1[[#This Row],[Recepcion]]</f>
        <v>-0.14475446428571437</v>
      </c>
      <c r="I22" s="6">
        <v>0.72</v>
      </c>
      <c r="J22" s="8">
        <f>Tabla1[[#This Row],[Costo ]]*Tabla1[[#This Row],[Diferencia]]</f>
        <v>-9.3384000000000036</v>
      </c>
    </row>
    <row r="23" spans="1:10" x14ac:dyDescent="0.25">
      <c r="A23" s="14">
        <v>16</v>
      </c>
      <c r="B23" s="13" t="s">
        <v>87</v>
      </c>
      <c r="C23" s="6">
        <v>214.48500000000001</v>
      </c>
      <c r="D23" s="6">
        <f>278+130.4</f>
        <v>408.4</v>
      </c>
      <c r="E23" s="6">
        <f>135.6-2.6*4</f>
        <v>125.19999999999999</v>
      </c>
      <c r="F23" s="6">
        <v>0</v>
      </c>
      <c r="G23" s="6">
        <f>Tabla1[[#This Row],[Ventas]]+Tabla1[[#This Row],[Fisico]]-Tabla1[[#This Row],[Sistema]]</f>
        <v>-89.285000000000025</v>
      </c>
      <c r="H23" s="7">
        <f>Tabla1[[#This Row],[Diferencia]]/Tabla1[[#This Row],[Recepcion]]</f>
        <v>-0.21862144955925569</v>
      </c>
      <c r="I23" s="6">
        <v>0.74</v>
      </c>
      <c r="J23" s="8">
        <f>Tabla1[[#This Row],[Costo ]]*Tabla1[[#This Row],[Diferencia]]</f>
        <v>-66.070900000000023</v>
      </c>
    </row>
    <row r="24" spans="1:10" x14ac:dyDescent="0.25">
      <c r="A24" s="14">
        <v>17</v>
      </c>
      <c r="B24" s="13" t="s">
        <v>84</v>
      </c>
      <c r="C24" s="6">
        <v>120.39</v>
      </c>
      <c r="D24" s="6">
        <f>308.2+68.4</f>
        <v>376.6</v>
      </c>
      <c r="E24" s="6">
        <f>48.2-4.4</f>
        <v>43.800000000000004</v>
      </c>
      <c r="F24" s="6">
        <v>0.98</v>
      </c>
      <c r="G24" s="6">
        <f>Tabla1[[#This Row],[Ventas]]+Tabla1[[#This Row],[Fisico]]-Tabla1[[#This Row],[Sistema]]</f>
        <v>-75.61</v>
      </c>
      <c r="H24" s="7">
        <f>Tabla1[[#This Row],[Diferencia]]/Tabla1[[#This Row],[Recepcion]]</f>
        <v>-0.20077004779607008</v>
      </c>
      <c r="I24" s="6">
        <v>0.82</v>
      </c>
      <c r="J24" s="8">
        <f>Tabla1[[#This Row],[Costo ]]*Tabla1[[#This Row],[Diferencia]]</f>
        <v>-62.000199999999992</v>
      </c>
    </row>
    <row r="25" spans="1:10" x14ac:dyDescent="0.25">
      <c r="A25" s="14">
        <v>18</v>
      </c>
      <c r="B25" s="13" t="s">
        <v>43</v>
      </c>
      <c r="C25" s="6">
        <v>115.58</v>
      </c>
      <c r="D25" s="6">
        <f>303+112.2</f>
        <v>415.2</v>
      </c>
      <c r="E25" s="6">
        <f>11.4+68.2-6.6-2.6</f>
        <v>70.40000000000002</v>
      </c>
      <c r="F25" s="6">
        <v>0.52</v>
      </c>
      <c r="G25" s="6">
        <f>Tabla1[[#This Row],[Ventas]]+Tabla1[[#This Row],[Fisico]]-Tabla1[[#This Row],[Sistema]]</f>
        <v>-44.659999999999982</v>
      </c>
      <c r="H25" s="7">
        <f>Tabla1[[#This Row],[Diferencia]]/Tabla1[[#This Row],[Recepcion]]</f>
        <v>-0.10756262042389206</v>
      </c>
      <c r="I25" s="6">
        <v>0.85</v>
      </c>
      <c r="J25" s="8">
        <f>Tabla1[[#This Row],[Costo ]]*Tabla1[[#This Row],[Diferencia]]</f>
        <v>-37.960999999999984</v>
      </c>
    </row>
    <row r="26" spans="1:10" x14ac:dyDescent="0.25">
      <c r="A26" s="14">
        <v>19</v>
      </c>
      <c r="B26" s="13" t="s">
        <v>34</v>
      </c>
      <c r="C26" s="6">
        <v>43.75</v>
      </c>
      <c r="D26" s="6">
        <f>929.4+187.2</f>
        <v>1116.5999999999999</v>
      </c>
      <c r="E26" s="6">
        <f>27.6-2.6</f>
        <v>25</v>
      </c>
      <c r="F26" s="6">
        <v>0</v>
      </c>
      <c r="G26" s="6">
        <f>Tabla1[[#This Row],[Ventas]]+Tabla1[[#This Row],[Fisico]]-Tabla1[[#This Row],[Sistema]]</f>
        <v>-18.75</v>
      </c>
      <c r="H26" s="7">
        <f>Tabla1[[#This Row],[Diferencia]]/Tabla1[[#This Row],[Recepcion]]</f>
        <v>-1.6792047286405161E-2</v>
      </c>
      <c r="I26" s="6">
        <v>0.96</v>
      </c>
      <c r="J26" s="8">
        <f>Tabla1[[#This Row],[Costo ]]*Tabla1[[#This Row],[Diferencia]]</f>
        <v>-18</v>
      </c>
    </row>
    <row r="27" spans="1:10" x14ac:dyDescent="0.25">
      <c r="A27" s="14">
        <v>23</v>
      </c>
      <c r="B27" s="13" t="s">
        <v>53</v>
      </c>
      <c r="C27" s="6">
        <v>37.325000000000003</v>
      </c>
      <c r="D27" s="6">
        <f>90.2+6.2</f>
        <v>96.4</v>
      </c>
      <c r="E27" s="6">
        <f>30.2-1.2-2.2</f>
        <v>26.8</v>
      </c>
      <c r="F27" s="6">
        <v>0</v>
      </c>
      <c r="G27" s="6">
        <f>Tabla1[[#This Row],[Ventas]]+Tabla1[[#This Row],[Fisico]]-Tabla1[[#This Row],[Sistema]]</f>
        <v>-10.525000000000002</v>
      </c>
      <c r="H27" s="7">
        <f>Tabla1[[#This Row],[Diferencia]]/Tabla1[[#This Row],[Recepcion]]</f>
        <v>-0.10918049792531122</v>
      </c>
      <c r="I27" s="6">
        <v>0.55000000000000004</v>
      </c>
      <c r="J27" s="8">
        <f>Tabla1[[#This Row],[Costo ]]*Tabla1[[#This Row],[Diferencia]]</f>
        <v>-5.7887500000000021</v>
      </c>
    </row>
    <row r="28" spans="1:10" x14ac:dyDescent="0.25">
      <c r="A28" s="14">
        <v>24</v>
      </c>
      <c r="B28" s="13" t="s">
        <v>86</v>
      </c>
      <c r="C28" s="6">
        <v>16.515000000000001</v>
      </c>
      <c r="D28" s="6">
        <f>66.8+14</f>
        <v>80.8</v>
      </c>
      <c r="E28" s="6">
        <f>5.6-2.6</f>
        <v>2.9999999999999996</v>
      </c>
      <c r="F28" s="6">
        <v>0.44</v>
      </c>
      <c r="G28" s="6">
        <f>Tabla1[[#This Row],[Ventas]]+Tabla1[[#This Row],[Fisico]]-Tabla1[[#This Row],[Sistema]]</f>
        <v>-13.075000000000001</v>
      </c>
      <c r="H28" s="7">
        <f>Tabla1[[#This Row],[Diferencia]]/Tabla1[[#This Row],[Recepcion]]</f>
        <v>-0.1618193069306931</v>
      </c>
      <c r="I28" s="6">
        <v>1.57</v>
      </c>
      <c r="J28" s="8">
        <f>Tabla1[[#This Row],[Costo ]]*Tabla1[[#This Row],[Diferencia]]</f>
        <v>-20.527750000000001</v>
      </c>
    </row>
    <row r="29" spans="1:10" x14ac:dyDescent="0.25">
      <c r="A29" s="14">
        <v>26</v>
      </c>
      <c r="B29" s="13" t="s">
        <v>55</v>
      </c>
      <c r="C29" s="6">
        <v>173.71</v>
      </c>
      <c r="D29" s="6">
        <f>456.99+187.2</f>
        <v>644.19000000000005</v>
      </c>
      <c r="E29" s="6">
        <f>114.24+45.6</f>
        <v>159.84</v>
      </c>
      <c r="F29" s="6">
        <v>1.05</v>
      </c>
      <c r="G29" s="6">
        <f>Tabla1[[#This Row],[Ventas]]+Tabla1[[#This Row],[Fisico]]-Tabla1[[#This Row],[Sistema]]</f>
        <v>-12.819999999999993</v>
      </c>
      <c r="H29" s="7">
        <f>Tabla1[[#This Row],[Diferencia]]/Tabla1[[#This Row],[Recepcion]]</f>
        <v>-1.9900960896629863E-2</v>
      </c>
      <c r="I29" s="6">
        <v>0.7</v>
      </c>
      <c r="J29" s="8">
        <f>Tabla1[[#This Row],[Costo ]]*Tabla1[[#This Row],[Diferencia]]</f>
        <v>-8.9739999999999949</v>
      </c>
    </row>
    <row r="30" spans="1:10" x14ac:dyDescent="0.25">
      <c r="A30" s="14">
        <v>28</v>
      </c>
      <c r="B30" s="13" t="s">
        <v>54</v>
      </c>
      <c r="C30" s="6">
        <v>64.355000000000004</v>
      </c>
      <c r="D30" s="6">
        <f>138.6+118.2</f>
        <v>256.8</v>
      </c>
      <c r="E30" s="6">
        <f>58.4-6.6</f>
        <v>51.8</v>
      </c>
      <c r="F30" s="6">
        <v>0.36</v>
      </c>
      <c r="G30" s="6">
        <f>Tabla1[[#This Row],[Ventas]]+Tabla1[[#This Row],[Fisico]]-Tabla1[[#This Row],[Sistema]]</f>
        <v>-12.195000000000007</v>
      </c>
      <c r="H30" s="7">
        <f>Tabla1[[#This Row],[Diferencia]]/Tabla1[[#This Row],[Recepcion]]</f>
        <v>-4.7488317757009374E-2</v>
      </c>
      <c r="I30" s="6">
        <v>0.64</v>
      </c>
      <c r="J30" s="8">
        <f>Tabla1[[#This Row],[Costo ]]*Tabla1[[#This Row],[Diferencia]]</f>
        <v>-7.8048000000000046</v>
      </c>
    </row>
    <row r="31" spans="1:10" x14ac:dyDescent="0.25">
      <c r="A31" s="14">
        <v>31</v>
      </c>
      <c r="B31" s="13" t="s">
        <v>47</v>
      </c>
      <c r="C31" s="6">
        <v>27.715</v>
      </c>
      <c r="D31" s="6">
        <v>100.2</v>
      </c>
      <c r="E31" s="6">
        <f>8-2.2</f>
        <v>5.8</v>
      </c>
      <c r="F31" s="6">
        <v>0</v>
      </c>
      <c r="G31" s="6">
        <f>Tabla1[[#This Row],[Ventas]]+Tabla1[[#This Row],[Fisico]]-Tabla1[[#This Row],[Sistema]]</f>
        <v>-21.914999999999999</v>
      </c>
      <c r="H31" s="7">
        <f>Tabla1[[#This Row],[Diferencia]]/Tabla1[[#This Row],[Recepcion]]</f>
        <v>-0.21871257485029938</v>
      </c>
      <c r="I31" s="6">
        <v>1.25</v>
      </c>
      <c r="J31" s="8">
        <f>Tabla1[[#This Row],[Costo ]]*Tabla1[[#This Row],[Diferencia]]</f>
        <v>-27.393749999999997</v>
      </c>
    </row>
    <row r="32" spans="1:10" x14ac:dyDescent="0.25">
      <c r="A32" s="14">
        <v>32</v>
      </c>
      <c r="B32" s="13" t="s">
        <v>48</v>
      </c>
      <c r="C32" s="6">
        <v>57.55</v>
      </c>
      <c r="D32" s="6">
        <f>45.8+23.8</f>
        <v>69.599999999999994</v>
      </c>
      <c r="E32" s="6">
        <f>57-4.4</f>
        <v>52.6</v>
      </c>
      <c r="F32" s="6">
        <v>0</v>
      </c>
      <c r="G32" s="6">
        <f>Tabla1[[#This Row],[Ventas]]+Tabla1[[#This Row],[Fisico]]-Tabla1[[#This Row],[Sistema]]</f>
        <v>-4.9499999999999957</v>
      </c>
      <c r="H32" s="7">
        <f>Tabla1[[#This Row],[Diferencia]]/Tabla1[[#This Row],[Recepcion]]</f>
        <v>-7.1120689655172362E-2</v>
      </c>
      <c r="I32" s="6">
        <v>0.65</v>
      </c>
      <c r="J32" s="8">
        <f>Tabla1[[#This Row],[Costo ]]*Tabla1[[#This Row],[Diferencia]]</f>
        <v>-3.2174999999999971</v>
      </c>
    </row>
    <row r="33" spans="1:10" x14ac:dyDescent="0.25">
      <c r="A33" s="4">
        <v>33</v>
      </c>
      <c r="B33" s="13" t="s">
        <v>88</v>
      </c>
      <c r="C33" s="6">
        <v>6.72</v>
      </c>
      <c r="D33" s="6">
        <v>4.4000000000000004</v>
      </c>
      <c r="E33" s="6">
        <v>0</v>
      </c>
      <c r="F33" s="6">
        <v>0</v>
      </c>
      <c r="G33" s="6">
        <f>Tabla1[[#This Row],[Ventas]]+Tabla1[[#This Row],[Fisico]]-Tabla1[[#This Row],[Sistema]]</f>
        <v>-6.72</v>
      </c>
      <c r="H33" s="7">
        <f>Tabla1[[#This Row],[Diferencia]]/Tabla1[[#This Row],[Recepcion]]</f>
        <v>-1.5272727272727271</v>
      </c>
      <c r="I33" s="6">
        <v>4.54</v>
      </c>
      <c r="J33" s="8">
        <f>Tabla1[[#This Row],[Costo ]]*Tabla1[[#This Row],[Diferencia]]</f>
        <v>-30.508800000000001</v>
      </c>
    </row>
    <row r="34" spans="1:10" x14ac:dyDescent="0.25">
      <c r="A34" s="14">
        <v>38</v>
      </c>
      <c r="B34" s="13" t="s">
        <v>96</v>
      </c>
      <c r="C34" s="6">
        <v>2.0750000000000002</v>
      </c>
      <c r="D34" s="6">
        <v>5.8</v>
      </c>
      <c r="E34" s="6">
        <v>0</v>
      </c>
      <c r="F34" s="6">
        <v>0</v>
      </c>
      <c r="G34" s="6">
        <f>Tabla1[[#This Row],[Ventas]]+Tabla1[[#This Row],[Fisico]]-Tabla1[[#This Row],[Sistema]]</f>
        <v>-2.0750000000000002</v>
      </c>
      <c r="H34" s="7">
        <f>Tabla1[[#This Row],[Diferencia]]/Tabla1[[#This Row],[Recepcion]]</f>
        <v>-0.35775862068965519</v>
      </c>
      <c r="I34" s="6">
        <v>1.2</v>
      </c>
      <c r="J34" s="8">
        <f>Tabla1[[#This Row],[Costo ]]*Tabla1[[#This Row],[Diferencia]]</f>
        <v>-2.4900000000000002</v>
      </c>
    </row>
    <row r="35" spans="1:10" x14ac:dyDescent="0.25">
      <c r="A35" s="14">
        <v>39</v>
      </c>
      <c r="B35" s="13" t="s">
        <v>71</v>
      </c>
      <c r="C35" s="6">
        <v>16.204999999999998</v>
      </c>
      <c r="D35" s="6">
        <v>32.4</v>
      </c>
      <c r="E35" s="6">
        <v>1.4</v>
      </c>
      <c r="F35" s="6">
        <v>0</v>
      </c>
      <c r="G35" s="6">
        <f>Tabla1[[#This Row],[Ventas]]+Tabla1[[#This Row],[Fisico]]-Tabla1[[#This Row],[Sistema]]</f>
        <v>-14.804999999999998</v>
      </c>
      <c r="H35" s="7">
        <f>Tabla1[[#This Row],[Diferencia]]/Tabla1[[#This Row],[Recepcion]]</f>
        <v>-0.45694444444444438</v>
      </c>
      <c r="I35" s="6">
        <v>0.92</v>
      </c>
      <c r="J35" s="8">
        <f>Tabla1[[#This Row],[Costo ]]*Tabla1[[#This Row],[Diferencia]]</f>
        <v>-13.620599999999998</v>
      </c>
    </row>
    <row r="36" spans="1:10" x14ac:dyDescent="0.25">
      <c r="A36" s="14">
        <v>40</v>
      </c>
      <c r="B36" s="13" t="s">
        <v>46</v>
      </c>
      <c r="C36" s="6">
        <v>59.94</v>
      </c>
      <c r="D36" s="6">
        <v>127.2</v>
      </c>
      <c r="E36" s="6">
        <f>36.6-4.4</f>
        <v>32.200000000000003</v>
      </c>
      <c r="F36" s="6">
        <v>0</v>
      </c>
      <c r="G36" s="6">
        <f>Tabla1[[#This Row],[Ventas]]+Tabla1[[#This Row],[Fisico]]-Tabla1[[#This Row],[Sistema]]</f>
        <v>-27.739999999999995</v>
      </c>
      <c r="H36" s="7">
        <f>Tabla1[[#This Row],[Diferencia]]/Tabla1[[#This Row],[Recepcion]]</f>
        <v>-0.21808176100628926</v>
      </c>
      <c r="I36" s="6">
        <v>0.56000000000000005</v>
      </c>
      <c r="J36" s="8">
        <f>Tabla1[[#This Row],[Costo ]]*Tabla1[[#This Row],[Diferencia]]</f>
        <v>-15.534399999999998</v>
      </c>
    </row>
    <row r="37" spans="1:10" x14ac:dyDescent="0.25">
      <c r="A37" s="14">
        <v>41</v>
      </c>
      <c r="B37" s="13" t="s">
        <v>94</v>
      </c>
      <c r="C37" s="6">
        <v>10.96</v>
      </c>
      <c r="D37" s="6"/>
      <c r="E37" s="6">
        <v>0</v>
      </c>
      <c r="F37" s="6">
        <v>0</v>
      </c>
      <c r="G37" s="6">
        <f>Tabla1[[#This Row],[Ventas]]+Tabla1[[#This Row],[Fisico]]-Tabla1[[#This Row],[Sistema]]</f>
        <v>-10.96</v>
      </c>
      <c r="H37" s="7">
        <v>0</v>
      </c>
      <c r="I37" s="6">
        <v>1.92</v>
      </c>
      <c r="J37" s="8">
        <f>Tabla1[[#This Row],[Costo ]]*Tabla1[[#This Row],[Diferencia]]</f>
        <v>-21.043200000000002</v>
      </c>
    </row>
    <row r="38" spans="1:10" x14ac:dyDescent="0.25">
      <c r="A38" s="14">
        <v>44</v>
      </c>
      <c r="B38" s="13" t="s">
        <v>41</v>
      </c>
      <c r="C38" s="6">
        <v>48.77</v>
      </c>
      <c r="D38" s="6">
        <f>252+62.8</f>
        <v>314.8</v>
      </c>
      <c r="E38" s="6">
        <f>33.2-2.6</f>
        <v>30.6</v>
      </c>
      <c r="F38" s="6">
        <v>0</v>
      </c>
      <c r="G38" s="6">
        <f>Tabla1[[#This Row],[Ventas]]+Tabla1[[#This Row],[Fisico]]-Tabla1[[#This Row],[Sistema]]</f>
        <v>-18.170000000000002</v>
      </c>
      <c r="H38" s="7">
        <f>Tabla1[[#This Row],[Diferencia]]/Tabla1[[#This Row],[Recepcion]]</f>
        <v>-5.7719186785260487E-2</v>
      </c>
      <c r="I38" s="6">
        <v>0.48</v>
      </c>
      <c r="J38" s="8">
        <f>Tabla1[[#This Row],[Costo ]]*Tabla1[[#This Row],[Diferencia]]</f>
        <v>-8.7216000000000005</v>
      </c>
    </row>
    <row r="39" spans="1:10" x14ac:dyDescent="0.25">
      <c r="A39" s="14">
        <v>45</v>
      </c>
      <c r="B39" s="13" t="s">
        <v>42</v>
      </c>
      <c r="C39" s="6">
        <v>200.83</v>
      </c>
      <c r="D39" s="6">
        <v>364.8</v>
      </c>
      <c r="E39" s="6">
        <f>95.6+15.6-20.8</f>
        <v>90.399999999999991</v>
      </c>
      <c r="F39" s="6">
        <v>0</v>
      </c>
      <c r="G39" s="6">
        <f>Tabla1[[#This Row],[Ventas]]+Tabla1[[#This Row],[Fisico]]-Tabla1[[#This Row],[Sistema]]</f>
        <v>-110.43000000000002</v>
      </c>
      <c r="H39" s="7">
        <f>Tabla1[[#This Row],[Diferencia]]/Tabla1[[#This Row],[Recepcion]]</f>
        <v>-0.30271381578947371</v>
      </c>
      <c r="I39" s="6">
        <v>0.5</v>
      </c>
      <c r="J39" s="8">
        <f>Tabla1[[#This Row],[Costo ]]*Tabla1[[#This Row],[Diferencia]]</f>
        <v>-55.215000000000011</v>
      </c>
    </row>
    <row r="40" spans="1:10" x14ac:dyDescent="0.25">
      <c r="A40" s="14">
        <v>46</v>
      </c>
      <c r="B40" s="13" t="s">
        <v>85</v>
      </c>
      <c r="C40" s="6">
        <v>8.8350000000000009</v>
      </c>
      <c r="D40" s="6">
        <f>23.2+0.8</f>
        <v>24</v>
      </c>
      <c r="E40" s="6">
        <v>0</v>
      </c>
      <c r="F40" s="6">
        <v>0</v>
      </c>
      <c r="G40" s="6">
        <f>Tabla1[[#This Row],[Ventas]]+Tabla1[[#This Row],[Fisico]]-Tabla1[[#This Row],[Sistema]]</f>
        <v>-8.8350000000000009</v>
      </c>
      <c r="H40" s="7">
        <f>Tabla1[[#This Row],[Diferencia]]/Tabla1[[#This Row],[Recepcion]]</f>
        <v>-0.36812500000000004</v>
      </c>
      <c r="I40" s="6">
        <v>1.03</v>
      </c>
      <c r="J40" s="8">
        <f>Tabla1[[#This Row],[Costo ]]*Tabla1[[#This Row],[Diferencia]]</f>
        <v>-9.1000500000000013</v>
      </c>
    </row>
    <row r="41" spans="1:10" x14ac:dyDescent="0.25">
      <c r="A41" s="14">
        <v>48</v>
      </c>
      <c r="B41" s="13" t="s">
        <v>78</v>
      </c>
      <c r="C41" s="6">
        <v>17.905000000000001</v>
      </c>
      <c r="D41" s="6">
        <f>18.4+4.2</f>
        <v>22.599999999999998</v>
      </c>
      <c r="E41" s="6">
        <v>0</v>
      </c>
      <c r="F41" s="6">
        <v>0</v>
      </c>
      <c r="G41" s="6">
        <f>Tabla1[[#This Row],[Ventas]]+Tabla1[[#This Row],[Fisico]]-Tabla1[[#This Row],[Sistema]]</f>
        <v>-17.905000000000001</v>
      </c>
      <c r="H41" s="7">
        <f>Tabla1[[#This Row],[Diferencia]]/Tabla1[[#This Row],[Recepcion]]</f>
        <v>-0.79225663716814176</v>
      </c>
      <c r="I41" s="6">
        <v>0.86</v>
      </c>
      <c r="J41" s="8">
        <f>Tabla1[[#This Row],[Costo ]]*Tabla1[[#This Row],[Diferencia]]</f>
        <v>-15.398300000000001</v>
      </c>
    </row>
    <row r="42" spans="1:10" x14ac:dyDescent="0.25">
      <c r="A42" s="14">
        <v>49</v>
      </c>
      <c r="B42" s="13" t="s">
        <v>44</v>
      </c>
      <c r="C42" s="6">
        <v>28.395</v>
      </c>
      <c r="D42" s="6">
        <f>30.6+12</f>
        <v>42.6</v>
      </c>
      <c r="E42" s="6">
        <f>27.6-2.6</f>
        <v>25</v>
      </c>
      <c r="F42" s="6">
        <v>0</v>
      </c>
      <c r="G42" s="6">
        <f>Tabla1[[#This Row],[Ventas]]+Tabla1[[#This Row],[Fisico]]-Tabla1[[#This Row],[Sistema]]</f>
        <v>-3.3949999999999996</v>
      </c>
      <c r="H42" s="7">
        <f>Tabla1[[#This Row],[Diferencia]]/Tabla1[[#This Row],[Recepcion]]</f>
        <v>-7.9694835680751155E-2</v>
      </c>
      <c r="I42" s="6">
        <v>1.79</v>
      </c>
      <c r="J42" s="8">
        <f>Tabla1[[#This Row],[Costo ]]*Tabla1[[#This Row],[Diferencia]]</f>
        <v>-6.077049999999999</v>
      </c>
    </row>
    <row r="43" spans="1:10" x14ac:dyDescent="0.25">
      <c r="A43" s="14">
        <v>50</v>
      </c>
      <c r="B43" s="13" t="s">
        <v>73</v>
      </c>
      <c r="C43" s="6">
        <v>134.69999999999999</v>
      </c>
      <c r="D43" s="6">
        <f>163.6</f>
        <v>163.6</v>
      </c>
      <c r="E43" s="6">
        <f>97-4.4-2.6</f>
        <v>90</v>
      </c>
      <c r="F43" s="6">
        <v>0</v>
      </c>
      <c r="G43" s="6">
        <f>Tabla1[[#This Row],[Ventas]]+Tabla1[[#This Row],[Fisico]]-Tabla1[[#This Row],[Sistema]]</f>
        <v>-44.699999999999989</v>
      </c>
      <c r="H43" s="7">
        <f>Tabla1[[#This Row],[Diferencia]]/Tabla1[[#This Row],[Recepcion]]</f>
        <v>-0.2732273838630806</v>
      </c>
      <c r="I43" s="6">
        <v>0.48</v>
      </c>
      <c r="J43" s="8">
        <f>Tabla1[[#This Row],[Costo ]]*Tabla1[[#This Row],[Diferencia]]</f>
        <v>-21.455999999999992</v>
      </c>
    </row>
    <row r="44" spans="1:10" x14ac:dyDescent="0.25">
      <c r="A44" s="14">
        <v>51</v>
      </c>
      <c r="B44" s="13" t="s">
        <v>40</v>
      </c>
      <c r="C44" s="6">
        <v>60.38</v>
      </c>
      <c r="D44" s="6">
        <f>208+9.8</f>
        <v>217.8</v>
      </c>
      <c r="E44" s="6">
        <f>29.6-2.6</f>
        <v>27</v>
      </c>
      <c r="F44" s="6">
        <v>1</v>
      </c>
      <c r="G44" s="6">
        <f>Tabla1[[#This Row],[Ventas]]+Tabla1[[#This Row],[Fisico]]-Tabla1[[#This Row],[Sistema]]</f>
        <v>-32.380000000000003</v>
      </c>
      <c r="H44" s="7">
        <f>Tabla1[[#This Row],[Diferencia]]/Tabla1[[#This Row],[Recepcion]]</f>
        <v>-0.14866850321395778</v>
      </c>
      <c r="I44" s="6">
        <v>0.68</v>
      </c>
      <c r="J44" s="8">
        <f>Tabla1[[#This Row],[Costo ]]*Tabla1[[#This Row],[Diferencia]]</f>
        <v>-22.018400000000003</v>
      </c>
    </row>
    <row r="45" spans="1:10" x14ac:dyDescent="0.25">
      <c r="A45" s="14">
        <v>55</v>
      </c>
      <c r="B45" s="13" t="s">
        <v>27</v>
      </c>
      <c r="C45" s="6">
        <v>67.775000000000006</v>
      </c>
      <c r="D45" s="6">
        <f>154+42</f>
        <v>196</v>
      </c>
      <c r="E45" s="6">
        <f>57.8-2.2</f>
        <v>55.599999999999994</v>
      </c>
      <c r="F45" s="6">
        <v>0.91</v>
      </c>
      <c r="G45" s="6">
        <f>Tabla1[[#This Row],[Ventas]]+Tabla1[[#This Row],[Fisico]]-Tabla1[[#This Row],[Sistema]]</f>
        <v>-11.265000000000015</v>
      </c>
      <c r="H45" s="7">
        <f>Tabla1[[#This Row],[Diferencia]]/Tabla1[[#This Row],[Recepcion]]</f>
        <v>-5.7474489795918446E-2</v>
      </c>
      <c r="I45" s="6">
        <v>0.98</v>
      </c>
      <c r="J45" s="8">
        <f>Tabla1[[#This Row],[Costo ]]*Tabla1[[#This Row],[Diferencia]]</f>
        <v>-11.039700000000014</v>
      </c>
    </row>
    <row r="46" spans="1:10" x14ac:dyDescent="0.25">
      <c r="A46" s="14">
        <v>57</v>
      </c>
      <c r="B46" s="13" t="s">
        <v>9</v>
      </c>
      <c r="C46" s="6">
        <v>13.074999999999999</v>
      </c>
      <c r="D46" s="6">
        <v>29.6</v>
      </c>
      <c r="E46" s="6">
        <f>10.8-2.6</f>
        <v>8.2000000000000011</v>
      </c>
      <c r="F46" s="6">
        <v>0</v>
      </c>
      <c r="G46" s="6">
        <f>Tabla1[[#This Row],[Ventas]]+Tabla1[[#This Row],[Fisico]]-Tabla1[[#This Row],[Sistema]]</f>
        <v>-4.8749999999999982</v>
      </c>
      <c r="H46" s="7">
        <f>Tabla1[[#This Row],[Diferencia]]/Tabla1[[#This Row],[Recepcion]]</f>
        <v>-0.16469594594594589</v>
      </c>
      <c r="I46" s="6">
        <v>0.85</v>
      </c>
      <c r="J46" s="8">
        <f>Tabla1[[#This Row],[Costo ]]*Tabla1[[#This Row],[Diferencia]]</f>
        <v>-4.143749999999998</v>
      </c>
    </row>
    <row r="47" spans="1:10" x14ac:dyDescent="0.25">
      <c r="A47" s="14">
        <v>58</v>
      </c>
      <c r="B47" s="13" t="s">
        <v>72</v>
      </c>
      <c r="C47" s="6">
        <v>63.92</v>
      </c>
      <c r="D47" s="6">
        <f>48.2+36.2</f>
        <v>84.4</v>
      </c>
      <c r="E47" s="6">
        <f>59.2-4.4</f>
        <v>54.800000000000004</v>
      </c>
      <c r="F47" s="6">
        <v>0</v>
      </c>
      <c r="G47" s="6">
        <f>Tabla1[[#This Row],[Ventas]]+Tabla1[[#This Row],[Fisico]]-Tabla1[[#This Row],[Sistema]]</f>
        <v>-9.1199999999999974</v>
      </c>
      <c r="H47" s="7">
        <f>Tabla1[[#This Row],[Diferencia]]/Tabla1[[#This Row],[Recepcion]]</f>
        <v>-0.10805687203791466</v>
      </c>
      <c r="I47" s="6">
        <v>0.93</v>
      </c>
      <c r="J47" s="8">
        <f>Tabla1[[#This Row],[Costo ]]*Tabla1[[#This Row],[Diferencia]]</f>
        <v>-8.4815999999999985</v>
      </c>
    </row>
    <row r="48" spans="1:10" x14ac:dyDescent="0.25">
      <c r="A48" s="14">
        <v>59</v>
      </c>
      <c r="B48" s="13" t="s">
        <v>76</v>
      </c>
      <c r="C48" s="6">
        <v>5.13</v>
      </c>
      <c r="D48" s="6">
        <v>16.399999999999999</v>
      </c>
      <c r="E48" s="6">
        <f>7.4-2.2</f>
        <v>5.2</v>
      </c>
      <c r="F48" s="6">
        <v>0</v>
      </c>
      <c r="G48" s="6">
        <f>Tabla1[[#This Row],[Ventas]]+Tabla1[[#This Row],[Fisico]]-Tabla1[[#This Row],[Sistema]]</f>
        <v>7.0000000000000284E-2</v>
      </c>
      <c r="H48" s="7">
        <f>Tabla1[[#This Row],[Diferencia]]/Tabla1[[#This Row],[Recepcion]]</f>
        <v>4.2682926829268469E-3</v>
      </c>
      <c r="I48" s="6">
        <v>1.2</v>
      </c>
      <c r="J48" s="8">
        <f>Tabla1[[#This Row],[Costo ]]*Tabla1[[#This Row],[Diferencia]]</f>
        <v>8.4000000000000338E-2</v>
      </c>
    </row>
    <row r="49" spans="1:10" x14ac:dyDescent="0.25">
      <c r="A49" s="14">
        <v>60</v>
      </c>
      <c r="B49" s="13" t="s">
        <v>83</v>
      </c>
      <c r="C49" s="6">
        <v>72.7</v>
      </c>
      <c r="D49" s="6">
        <f>138.2+45</f>
        <v>183.2</v>
      </c>
      <c r="E49" s="6">
        <f>47-4.4-2.6</f>
        <v>40</v>
      </c>
      <c r="F49" s="6">
        <v>0</v>
      </c>
      <c r="G49" s="6">
        <f>Tabla1[[#This Row],[Ventas]]+Tabla1[[#This Row],[Fisico]]-Tabla1[[#This Row],[Sistema]]</f>
        <v>-32.700000000000003</v>
      </c>
      <c r="H49" s="7">
        <f>Tabla1[[#This Row],[Diferencia]]/Tabla1[[#This Row],[Recepcion]]</f>
        <v>-0.1784934497816594</v>
      </c>
      <c r="I49" s="6">
        <v>0.92</v>
      </c>
      <c r="J49" s="8">
        <f>Tabla1[[#This Row],[Costo ]]*Tabla1[[#This Row],[Diferencia]]</f>
        <v>-30.084000000000003</v>
      </c>
    </row>
    <row r="50" spans="1:10" x14ac:dyDescent="0.25">
      <c r="A50" s="14">
        <v>61</v>
      </c>
      <c r="B50" s="13" t="s">
        <v>81</v>
      </c>
      <c r="C50" s="6">
        <v>82.54</v>
      </c>
      <c r="D50" s="6">
        <f>243.4+2.6</f>
        <v>246</v>
      </c>
      <c r="E50" s="6">
        <f>53.4-2.6</f>
        <v>50.8</v>
      </c>
      <c r="F50" s="6">
        <v>0</v>
      </c>
      <c r="G50" s="6">
        <f>Tabla1[[#This Row],[Ventas]]+Tabla1[[#This Row],[Fisico]]-Tabla1[[#This Row],[Sistema]]</f>
        <v>-31.740000000000009</v>
      </c>
      <c r="H50" s="7">
        <f>Tabla1[[#This Row],[Diferencia]]/Tabla1[[#This Row],[Recepcion]]</f>
        <v>-0.12902439024390247</v>
      </c>
      <c r="I50" s="6">
        <v>0.62</v>
      </c>
      <c r="J50" s="8">
        <f>Tabla1[[#This Row],[Costo ]]*Tabla1[[#This Row],[Diferencia]]</f>
        <v>-19.678800000000006</v>
      </c>
    </row>
    <row r="51" spans="1:10" x14ac:dyDescent="0.25">
      <c r="A51" s="14">
        <v>63</v>
      </c>
      <c r="B51" s="13" t="s">
        <v>82</v>
      </c>
      <c r="C51" s="6">
        <v>33.284999999999997</v>
      </c>
      <c r="D51" s="6">
        <v>112.2</v>
      </c>
      <c r="E51" s="6">
        <f>9-2.2</f>
        <v>6.8</v>
      </c>
      <c r="F51" s="6">
        <v>0</v>
      </c>
      <c r="G51" s="6">
        <f>Tabla1[[#This Row],[Ventas]]+Tabla1[[#This Row],[Fisico]]-Tabla1[[#This Row],[Sistema]]</f>
        <v>-26.484999999999996</v>
      </c>
      <c r="H51" s="7">
        <f>Tabla1[[#This Row],[Diferencia]]/Tabla1[[#This Row],[Recepcion]]</f>
        <v>-0.23605169340463453</v>
      </c>
      <c r="I51" s="6">
        <v>0.72</v>
      </c>
      <c r="J51" s="8">
        <f>Tabla1[[#This Row],[Costo ]]*Tabla1[[#This Row],[Diferencia]]</f>
        <v>-19.069199999999995</v>
      </c>
    </row>
    <row r="52" spans="1:10" x14ac:dyDescent="0.25">
      <c r="A52" s="14">
        <v>64</v>
      </c>
      <c r="B52" s="13" t="s">
        <v>31</v>
      </c>
      <c r="C52" s="6">
        <v>3.2</v>
      </c>
      <c r="D52" s="6">
        <v>4.5999999999999996</v>
      </c>
      <c r="E52" s="6">
        <v>0.4</v>
      </c>
      <c r="F52" s="6">
        <v>0</v>
      </c>
      <c r="G52" s="6">
        <f>Tabla1[[#This Row],[Ventas]]+Tabla1[[#This Row],[Fisico]]-Tabla1[[#This Row],[Sistema]]</f>
        <v>-2.8000000000000003</v>
      </c>
      <c r="H52" s="7">
        <f>Tabla1[[#This Row],[Diferencia]]/Tabla1[[#This Row],[Recepcion]]</f>
        <v>-0.60869565217391319</v>
      </c>
      <c r="I52" s="6">
        <v>2.33</v>
      </c>
      <c r="J52" s="8">
        <f>Tabla1[[#This Row],[Costo ]]*Tabla1[[#This Row],[Diferencia]]</f>
        <v>-6.5240000000000009</v>
      </c>
    </row>
    <row r="53" spans="1:10" x14ac:dyDescent="0.25">
      <c r="A53" s="14">
        <v>65</v>
      </c>
      <c r="B53" s="13" t="s">
        <v>2</v>
      </c>
      <c r="C53" s="6">
        <v>5.1349999999999998</v>
      </c>
      <c r="D53" s="6">
        <f>6.8+0.8</f>
        <v>7.6</v>
      </c>
      <c r="E53" s="6">
        <v>1.4</v>
      </c>
      <c r="F53" s="6">
        <v>0.21</v>
      </c>
      <c r="G53" s="6">
        <f>Tabla1[[#This Row],[Ventas]]+Tabla1[[#This Row],[Fisico]]-Tabla1[[#This Row],[Sistema]]</f>
        <v>-3.5249999999999999</v>
      </c>
      <c r="H53" s="7">
        <f>Tabla1[[#This Row],[Diferencia]]/Tabla1[[#This Row],[Recepcion]]</f>
        <v>-0.46381578947368424</v>
      </c>
      <c r="I53" s="6">
        <v>2.35</v>
      </c>
      <c r="J53" s="8">
        <f>Tabla1[[#This Row],[Costo ]]*Tabla1[[#This Row],[Diferencia]]</f>
        <v>-8.2837499999999995</v>
      </c>
    </row>
    <row r="54" spans="1:10" x14ac:dyDescent="0.25">
      <c r="A54" s="14">
        <v>67</v>
      </c>
      <c r="B54" s="13" t="s">
        <v>80</v>
      </c>
      <c r="C54" s="6">
        <v>60.814999999999998</v>
      </c>
      <c r="D54" s="6">
        <f>194+34.6</f>
        <v>228.6</v>
      </c>
      <c r="E54" s="6">
        <f>20.2-2.6+40.2-2.6-2.2</f>
        <v>52.999999999999993</v>
      </c>
      <c r="F54" s="6">
        <v>0</v>
      </c>
      <c r="G54" s="6">
        <f>Tabla1[[#This Row],[Ventas]]+Tabla1[[#This Row],[Fisico]]-Tabla1[[#This Row],[Sistema]]</f>
        <v>-7.8150000000000048</v>
      </c>
      <c r="H54" s="7">
        <f>Tabla1[[#This Row],[Diferencia]]/Tabla1[[#This Row],[Recepcion]]</f>
        <v>-3.4186351706036767E-2</v>
      </c>
      <c r="I54" s="6">
        <v>1.2</v>
      </c>
      <c r="J54" s="8">
        <f>Tabla1[[#This Row],[Costo ]]*Tabla1[[#This Row],[Diferencia]]</f>
        <v>-9.3780000000000054</v>
      </c>
    </row>
    <row r="55" spans="1:10" x14ac:dyDescent="0.25">
      <c r="A55" s="14">
        <v>70</v>
      </c>
      <c r="B55" s="13" t="s">
        <v>75</v>
      </c>
      <c r="C55" s="6">
        <v>5.7649999999999997</v>
      </c>
      <c r="D55" s="6">
        <v>42.2</v>
      </c>
      <c r="E55" s="6">
        <f>4.8-1.2</f>
        <v>3.5999999999999996</v>
      </c>
      <c r="F55" s="6">
        <v>0</v>
      </c>
      <c r="G55" s="6">
        <f>Tabla1[[#This Row],[Ventas]]+Tabla1[[#This Row],[Fisico]]-Tabla1[[#This Row],[Sistema]]</f>
        <v>-2.165</v>
      </c>
      <c r="H55" s="7">
        <f>Tabla1[[#This Row],[Diferencia]]/Tabla1[[#This Row],[Recepcion]]</f>
        <v>-5.1303317535545019E-2</v>
      </c>
      <c r="I55" s="6">
        <v>0.59</v>
      </c>
      <c r="J55" s="8">
        <f>Tabla1[[#This Row],[Costo ]]*Tabla1[[#This Row],[Diferencia]]</f>
        <v>-1.27735</v>
      </c>
    </row>
    <row r="56" spans="1:10" x14ac:dyDescent="0.25">
      <c r="A56" s="14">
        <v>71</v>
      </c>
      <c r="B56" s="13" t="s">
        <v>35</v>
      </c>
      <c r="C56" s="6">
        <v>354.57</v>
      </c>
      <c r="D56" s="6">
        <f>259.4+342.8</f>
        <v>602.20000000000005</v>
      </c>
      <c r="E56" s="6">
        <f>239.8+78.6-26-13</f>
        <v>279.39999999999998</v>
      </c>
      <c r="F56" s="6">
        <v>0</v>
      </c>
      <c r="G56" s="6">
        <f>Tabla1[[#This Row],[Ventas]]+Tabla1[[#This Row],[Fisico]]-Tabla1[[#This Row],[Sistema]]</f>
        <v>-75.170000000000016</v>
      </c>
      <c r="H56" s="7">
        <f>Tabla1[[#This Row],[Diferencia]]/Tabla1[[#This Row],[Recepcion]]</f>
        <v>-0.12482563932248424</v>
      </c>
      <c r="I56" s="6">
        <v>0.25</v>
      </c>
      <c r="J56" s="8">
        <f>Tabla1[[#This Row],[Costo ]]*Tabla1[[#This Row],[Diferencia]]</f>
        <v>-18.792500000000004</v>
      </c>
    </row>
    <row r="57" spans="1:10" x14ac:dyDescent="0.25">
      <c r="A57" s="14">
        <v>72</v>
      </c>
      <c r="B57" s="13" t="s">
        <v>36</v>
      </c>
      <c r="C57" s="6">
        <v>21.425000000000001</v>
      </c>
      <c r="D57" s="6">
        <f>32.2+5.4</f>
        <v>37.6</v>
      </c>
      <c r="E57" s="6">
        <f>20.4-2.6</f>
        <v>17.799999999999997</v>
      </c>
      <c r="F57" s="6">
        <v>0</v>
      </c>
      <c r="G57" s="6">
        <f>Tabla1[[#This Row],[Ventas]]+Tabla1[[#This Row],[Fisico]]-Tabla1[[#This Row],[Sistema]]</f>
        <v>-3.6250000000000036</v>
      </c>
      <c r="H57" s="7">
        <f>Tabla1[[#This Row],[Diferencia]]/Tabla1[[#This Row],[Recepcion]]</f>
        <v>-9.6409574468085193E-2</v>
      </c>
      <c r="I57" s="6">
        <v>0.95</v>
      </c>
      <c r="J57" s="8">
        <f>Tabla1[[#This Row],[Costo ]]*Tabla1[[#This Row],[Diferencia]]</f>
        <v>-3.4437500000000032</v>
      </c>
    </row>
    <row r="58" spans="1:10" x14ac:dyDescent="0.25">
      <c r="A58" s="14">
        <v>78</v>
      </c>
      <c r="B58" s="13" t="s">
        <v>37</v>
      </c>
      <c r="C58" s="6">
        <v>44.75</v>
      </c>
      <c r="D58" s="6">
        <v>719.12</v>
      </c>
      <c r="E58" s="6">
        <f>39-1.2-2.2</f>
        <v>35.599999999999994</v>
      </c>
      <c r="F58" s="6">
        <v>0.53</v>
      </c>
      <c r="G58" s="6">
        <f>Tabla1[[#This Row],[Ventas]]+Tabla1[[#This Row],[Fisico]]-Tabla1[[#This Row],[Sistema]]</f>
        <v>-8.6200000000000045</v>
      </c>
      <c r="H58" s="7">
        <f>Tabla1[[#This Row],[Diferencia]]/Tabla1[[#This Row],[Recepcion]]</f>
        <v>-1.1986872844587836E-2</v>
      </c>
      <c r="I58" s="6">
        <v>1.05</v>
      </c>
      <c r="J58" s="8">
        <f>Tabla1[[#This Row],[Costo ]]*Tabla1[[#This Row],[Diferencia]]</f>
        <v>-9.0510000000000055</v>
      </c>
    </row>
    <row r="59" spans="1:10" x14ac:dyDescent="0.25">
      <c r="A59" s="14">
        <v>83</v>
      </c>
      <c r="B59" s="13" t="s">
        <v>38</v>
      </c>
      <c r="C59" s="6">
        <v>23.52</v>
      </c>
      <c r="D59" s="6">
        <f>26.4+7.4</f>
        <v>33.799999999999997</v>
      </c>
      <c r="E59" s="6">
        <f>26.4-2.6-2.2</f>
        <v>21.599999999999998</v>
      </c>
      <c r="F59" s="6">
        <v>0</v>
      </c>
      <c r="G59" s="6">
        <f>Tabla1[[#This Row],[Ventas]]+Tabla1[[#This Row],[Fisico]]-Tabla1[[#This Row],[Sistema]]</f>
        <v>-1.9200000000000017</v>
      </c>
      <c r="H59" s="7">
        <f>Tabla1[[#This Row],[Diferencia]]/Tabla1[[#This Row],[Recepcion]]</f>
        <v>-5.6804733727810704E-2</v>
      </c>
      <c r="I59" s="6">
        <v>1.32</v>
      </c>
      <c r="J59" s="8">
        <f>Tabla1[[#This Row],[Costo ]]*Tabla1[[#This Row],[Diferencia]]</f>
        <v>-2.5344000000000024</v>
      </c>
    </row>
    <row r="60" spans="1:10" x14ac:dyDescent="0.25">
      <c r="A60" s="14">
        <v>85</v>
      </c>
      <c r="B60" s="13" t="s">
        <v>74</v>
      </c>
      <c r="C60" s="6">
        <v>165.41</v>
      </c>
      <c r="D60" s="6">
        <v>421.2</v>
      </c>
      <c r="E60" s="6">
        <f>76.2+26.4-2.2-5.2-2.6</f>
        <v>92.6</v>
      </c>
      <c r="F60" s="6">
        <v>0.21</v>
      </c>
      <c r="G60" s="6">
        <f>Tabla1[[#This Row],[Ventas]]+Tabla1[[#This Row],[Fisico]]-Tabla1[[#This Row],[Sistema]]</f>
        <v>-72.600000000000009</v>
      </c>
      <c r="H60" s="7">
        <f>Tabla1[[#This Row],[Diferencia]]/Tabla1[[#This Row],[Recepcion]]</f>
        <v>-0.1723646723646724</v>
      </c>
      <c r="I60" s="6">
        <v>0.56999999999999995</v>
      </c>
      <c r="J60" s="8">
        <f>Tabla1[[#This Row],[Costo ]]*Tabla1[[#This Row],[Diferencia]]</f>
        <v>-41.381999999999998</v>
      </c>
    </row>
    <row r="61" spans="1:10" x14ac:dyDescent="0.25">
      <c r="A61" s="14">
        <v>86</v>
      </c>
      <c r="B61" s="13" t="s">
        <v>166</v>
      </c>
      <c r="C61" s="6">
        <v>26.795000000000002</v>
      </c>
      <c r="D61" s="6">
        <v>37.200000000000003</v>
      </c>
      <c r="E61" s="6"/>
      <c r="F61" s="6">
        <v>0</v>
      </c>
      <c r="G61" s="6">
        <f>Tabla1[[#This Row],[Ventas]]+Tabla1[[#This Row],[Fisico]]-Tabla1[[#This Row],[Sistema]]</f>
        <v>-26.795000000000002</v>
      </c>
      <c r="H61" s="7">
        <f>Tabla1[[#This Row],[Diferencia]]/Tabla1[[#This Row],[Recepcion]]</f>
        <v>-0.72029569892473122</v>
      </c>
      <c r="I61" s="6">
        <v>0.54</v>
      </c>
      <c r="J61" s="8">
        <f>Tabla1[[#This Row],[Costo ]]*Tabla1[[#This Row],[Diferencia]]</f>
        <v>-14.469300000000002</v>
      </c>
    </row>
    <row r="62" spans="1:10" x14ac:dyDescent="0.25">
      <c r="A62" s="14">
        <v>87</v>
      </c>
      <c r="B62" s="13" t="s">
        <v>3</v>
      </c>
      <c r="C62" s="6">
        <v>4.72</v>
      </c>
      <c r="D62" s="6">
        <v>5.4</v>
      </c>
      <c r="E62" s="6">
        <f>4.2-2.6</f>
        <v>1.6</v>
      </c>
      <c r="F62" s="6">
        <v>0</v>
      </c>
      <c r="G62" s="6">
        <f>Tabla1[[#This Row],[Ventas]]+Tabla1[[#This Row],[Fisico]]-Tabla1[[#This Row],[Sistema]]</f>
        <v>-3.1199999999999997</v>
      </c>
      <c r="H62" s="7">
        <f>Tabla1[[#This Row],[Diferencia]]/Tabla1[[#This Row],[Recepcion]]</f>
        <v>-0.57777777777777772</v>
      </c>
      <c r="I62" s="6">
        <v>1.1200000000000001</v>
      </c>
      <c r="J62" s="8">
        <f>Tabla1[[#This Row],[Costo ]]*Tabla1[[#This Row],[Diferencia]]</f>
        <v>-3.4944000000000002</v>
      </c>
    </row>
    <row r="63" spans="1:10" x14ac:dyDescent="0.25">
      <c r="A63" s="14">
        <v>90</v>
      </c>
      <c r="B63" s="13" t="s">
        <v>90</v>
      </c>
      <c r="C63" s="6">
        <v>2.78</v>
      </c>
      <c r="D63" s="6"/>
      <c r="E63" s="6">
        <v>0</v>
      </c>
      <c r="F63" s="6">
        <v>0</v>
      </c>
      <c r="G63" s="6">
        <f>Tabla1[[#This Row],[Ventas]]+Tabla1[[#This Row],[Fisico]]-Tabla1[[#This Row],[Sistema]]</f>
        <v>-2.78</v>
      </c>
      <c r="H63" s="7">
        <v>0</v>
      </c>
      <c r="I63" s="6">
        <v>1.42</v>
      </c>
      <c r="J63" s="8">
        <f>Tabla1[[#This Row],[Costo ]]*Tabla1[[#This Row],[Diferencia]]</f>
        <v>-3.9475999999999996</v>
      </c>
    </row>
    <row r="64" spans="1:10" x14ac:dyDescent="0.25">
      <c r="A64" s="14">
        <v>91</v>
      </c>
      <c r="B64" s="13" t="s">
        <v>79</v>
      </c>
      <c r="C64" s="6">
        <v>5.2</v>
      </c>
      <c r="D64" s="6"/>
      <c r="E64" s="6">
        <v>0</v>
      </c>
      <c r="F64" s="6">
        <v>0</v>
      </c>
      <c r="G64" s="6">
        <f>Tabla1[[#This Row],[Ventas]]+Tabla1[[#This Row],[Fisico]]-Tabla1[[#This Row],[Sistema]]</f>
        <v>-5.2</v>
      </c>
      <c r="H64" s="7">
        <v>0</v>
      </c>
      <c r="I64" s="6"/>
      <c r="J64" s="8">
        <f>Tabla1[[#This Row],[Costo ]]*Tabla1[[#This Row],[Diferencia]]</f>
        <v>0</v>
      </c>
    </row>
    <row r="65" spans="1:10" x14ac:dyDescent="0.25">
      <c r="A65" s="14">
        <v>93</v>
      </c>
      <c r="B65" s="13" t="s">
        <v>148</v>
      </c>
      <c r="C65" s="6">
        <v>11.75</v>
      </c>
      <c r="D65" s="6">
        <v>29.6</v>
      </c>
      <c r="E65" s="6">
        <f>5.4-2.2</f>
        <v>3.2</v>
      </c>
      <c r="F65" s="6">
        <v>0</v>
      </c>
      <c r="G65" s="6">
        <f>Tabla1[[#This Row],[Ventas]]+Tabla1[[#This Row],[Fisico]]-Tabla1[[#This Row],[Sistema]]</f>
        <v>-8.5500000000000007</v>
      </c>
      <c r="H65" s="7">
        <f>Tabla1[[#This Row],[Diferencia]]/Tabla1[[#This Row],[Recepcion]]</f>
        <v>-0.28885135135135137</v>
      </c>
      <c r="I65" s="6">
        <v>2.19</v>
      </c>
      <c r="J65" s="8">
        <f>Tabla1[[#This Row],[Costo ]]*Tabla1[[#This Row],[Diferencia]]</f>
        <v>-18.724500000000003</v>
      </c>
    </row>
    <row r="66" spans="1:10" x14ac:dyDescent="0.25">
      <c r="A66" s="14">
        <v>1775</v>
      </c>
      <c r="B66" s="13" t="s">
        <v>8</v>
      </c>
      <c r="C66" s="6">
        <v>14.8</v>
      </c>
      <c r="D66" s="6">
        <v>22</v>
      </c>
      <c r="E66" s="6">
        <v>0</v>
      </c>
      <c r="F66" s="6">
        <v>0</v>
      </c>
      <c r="G66" s="6">
        <f>Tabla1[[#This Row],[Ventas]]+Tabla1[[#This Row],[Fisico]]-Tabla1[[#This Row],[Sistema]]</f>
        <v>-14.8</v>
      </c>
      <c r="H66" s="7">
        <f>Tabla1[[#This Row],[Diferencia]]/Tabla1[[#This Row],[Recepcion]]</f>
        <v>-0.67272727272727273</v>
      </c>
      <c r="I66" s="6">
        <v>0.56000000000000005</v>
      </c>
      <c r="J66" s="8">
        <f>Tabla1[[#This Row],[Costo ]]*Tabla1[[#This Row],[Diferencia]]</f>
        <v>-8.288000000000002</v>
      </c>
    </row>
    <row r="67" spans="1:10" x14ac:dyDescent="0.25">
      <c r="A67" s="14">
        <v>2078</v>
      </c>
      <c r="B67" s="13" t="s">
        <v>32</v>
      </c>
      <c r="C67" s="6">
        <v>12</v>
      </c>
      <c r="D67" s="6">
        <v>83</v>
      </c>
      <c r="E67" s="6">
        <v>9</v>
      </c>
      <c r="F67" s="6">
        <v>0</v>
      </c>
      <c r="G67" s="6">
        <f>Tabla1[[#This Row],[Ventas]]+Tabla1[[#This Row],[Fisico]]-Tabla1[[#This Row],[Sistema]]</f>
        <v>-3</v>
      </c>
      <c r="H67" s="7">
        <f>Tabla1[[#This Row],[Diferencia]]/Tabla1[[#This Row],[Recepcion]]</f>
        <v>-3.614457831325301E-2</v>
      </c>
      <c r="I67" s="6">
        <v>1.7</v>
      </c>
      <c r="J67" s="8">
        <f>Tabla1[[#This Row],[Costo ]]*Tabla1[[#This Row],[Diferencia]]</f>
        <v>-5.0999999999999996</v>
      </c>
    </row>
    <row r="68" spans="1:10" x14ac:dyDescent="0.25">
      <c r="A68" s="14">
        <v>2079</v>
      </c>
      <c r="B68" s="13" t="s">
        <v>39</v>
      </c>
      <c r="C68" s="6">
        <v>28.035</v>
      </c>
      <c r="D68" s="6"/>
      <c r="E68" s="6">
        <f>19.4-2.2</f>
        <v>17.2</v>
      </c>
      <c r="F68" s="6">
        <v>0.38</v>
      </c>
      <c r="G68" s="6">
        <f>Tabla1[[#This Row],[Ventas]]+Tabla1[[#This Row],[Fisico]]-Tabla1[[#This Row],[Sistema]]</f>
        <v>-10.455000000000002</v>
      </c>
      <c r="H68" s="7">
        <v>0</v>
      </c>
      <c r="I68" s="6">
        <v>2.48</v>
      </c>
      <c r="J68" s="8">
        <f>Tabla1[[#This Row],[Costo ]]*Tabla1[[#This Row],[Diferencia]]</f>
        <v>-25.928400000000003</v>
      </c>
    </row>
    <row r="69" spans="1:10" x14ac:dyDescent="0.25">
      <c r="A69" s="14">
        <v>2105</v>
      </c>
      <c r="B69" s="13" t="s">
        <v>52</v>
      </c>
      <c r="C69" s="6">
        <v>7</v>
      </c>
      <c r="D69" s="6">
        <v>66</v>
      </c>
      <c r="E69" s="6">
        <v>2</v>
      </c>
      <c r="F69" s="6">
        <v>0</v>
      </c>
      <c r="G69" s="6">
        <f>Tabla1[[#This Row],[Ventas]]+Tabla1[[#This Row],[Fisico]]-Tabla1[[#This Row],[Sistema]]</f>
        <v>-5</v>
      </c>
      <c r="H69" s="7">
        <f>Tabla1[[#This Row],[Diferencia]]/Tabla1[[#This Row],[Recepcion]]</f>
        <v>-7.575757575757576E-2</v>
      </c>
      <c r="I69" s="6">
        <v>0.45</v>
      </c>
      <c r="J69" s="8">
        <f>Tabla1[[#This Row],[Costo ]]*Tabla1[[#This Row],[Diferencia]]</f>
        <v>-2.25</v>
      </c>
    </row>
    <row r="70" spans="1:10" x14ac:dyDescent="0.25">
      <c r="A70" s="14">
        <v>2131</v>
      </c>
      <c r="B70" s="13" t="s">
        <v>179</v>
      </c>
      <c r="C70" s="6">
        <v>718</v>
      </c>
      <c r="D70" s="6">
        <v>839</v>
      </c>
      <c r="E70" s="6">
        <f>478+260</f>
        <v>738</v>
      </c>
      <c r="F70" s="6"/>
      <c r="G70" s="6">
        <f>Tabla1[[#This Row],[Ventas]]+Tabla1[[#This Row],[Fisico]]-Tabla1[[#This Row],[Sistema]]</f>
        <v>20</v>
      </c>
      <c r="H70" s="7">
        <f>Tabla1[[#This Row],[Diferencia]]/Tabla1[[#This Row],[Recepcion]]</f>
        <v>2.3837902264600714E-2</v>
      </c>
      <c r="I70" s="6"/>
      <c r="J70" s="8">
        <f>Tabla1[[#This Row],[Costo ]]*Tabla1[[#This Row],[Diferencia]]</f>
        <v>0</v>
      </c>
    </row>
    <row r="71" spans="1:10" x14ac:dyDescent="0.25">
      <c r="A71" s="14">
        <v>2569</v>
      </c>
      <c r="B71" s="13" t="s">
        <v>89</v>
      </c>
      <c r="C71" s="6">
        <v>8.1999999999999993</v>
      </c>
      <c r="D71" s="6">
        <v>9</v>
      </c>
      <c r="E71" s="6">
        <v>1.4</v>
      </c>
      <c r="F71" s="6">
        <v>0</v>
      </c>
      <c r="G71" s="6">
        <f>Tabla1[[#This Row],[Ventas]]+Tabla1[[#This Row],[Fisico]]-Tabla1[[#This Row],[Sistema]]</f>
        <v>-6.7999999999999989</v>
      </c>
      <c r="H71" s="7">
        <f>Tabla1[[#This Row],[Diferencia]]/Tabla1[[#This Row],[Recepcion]]</f>
        <v>-0.75555555555555542</v>
      </c>
      <c r="I71" s="6">
        <v>1</v>
      </c>
      <c r="J71" s="8">
        <f>Tabla1[[#This Row],[Costo ]]*Tabla1[[#This Row],[Diferencia]]</f>
        <v>-6.7999999999999989</v>
      </c>
    </row>
    <row r="72" spans="1:10" x14ac:dyDescent="0.25">
      <c r="A72" s="14">
        <v>2763</v>
      </c>
      <c r="B72" s="13" t="s">
        <v>45</v>
      </c>
      <c r="C72" s="6">
        <v>35.19</v>
      </c>
      <c r="D72" s="6">
        <f>40.6+5.2</f>
        <v>45.800000000000004</v>
      </c>
      <c r="E72" s="6">
        <f>43-2.6*3</f>
        <v>35.200000000000003</v>
      </c>
      <c r="F72" s="6">
        <v>0</v>
      </c>
      <c r="G72" s="6">
        <f>Tabla1[[#This Row],[Ventas]]+Tabla1[[#This Row],[Fisico]]-Tabla1[[#This Row],[Sistema]]</f>
        <v>1.0000000000005116E-2</v>
      </c>
      <c r="H72" s="7">
        <f>Tabla1[[#This Row],[Diferencia]]/Tabla1[[#This Row],[Recepcion]]</f>
        <v>2.1834061135382347E-4</v>
      </c>
      <c r="I72" s="6">
        <v>0.62</v>
      </c>
      <c r="J72" s="8">
        <f>Tabla1[[#This Row],[Costo ]]*Tabla1[[#This Row],[Diferencia]]</f>
        <v>6.2000000000031717E-3</v>
      </c>
    </row>
    <row r="73" spans="1:10" x14ac:dyDescent="0.25">
      <c r="A73" s="14">
        <v>3524</v>
      </c>
      <c r="B73" s="13" t="s">
        <v>58</v>
      </c>
      <c r="C73" s="6">
        <v>95</v>
      </c>
      <c r="D73" s="6">
        <v>82</v>
      </c>
      <c r="E73" s="6">
        <v>92</v>
      </c>
      <c r="F73" s="6">
        <v>0</v>
      </c>
      <c r="G73" s="6">
        <f>Tabla1[[#This Row],[Ventas]]+Tabla1[[#This Row],[Fisico]]-Tabla1[[#This Row],[Sistema]]</f>
        <v>-3</v>
      </c>
      <c r="H73" s="7">
        <f>Tabla1[[#This Row],[Diferencia]]/Tabla1[[#This Row],[Recepcion]]</f>
        <v>-3.6585365853658534E-2</v>
      </c>
      <c r="I73" s="6">
        <v>1.22</v>
      </c>
      <c r="J73" s="8">
        <f>Tabla1[[#This Row],[Costo ]]*Tabla1[[#This Row],[Diferencia]]</f>
        <v>-3.66</v>
      </c>
    </row>
    <row r="74" spans="1:10" x14ac:dyDescent="0.25">
      <c r="A74" s="14">
        <v>3525</v>
      </c>
      <c r="B74" s="13" t="s">
        <v>62</v>
      </c>
      <c r="C74" s="6">
        <v>4</v>
      </c>
      <c r="D74" s="6">
        <v>5</v>
      </c>
      <c r="E74" s="6">
        <v>4</v>
      </c>
      <c r="F74" s="6">
        <v>0</v>
      </c>
      <c r="G74" s="6">
        <f>Tabla1[[#This Row],[Ventas]]+Tabla1[[#This Row],[Fisico]]-Tabla1[[#This Row],[Sistema]]</f>
        <v>0</v>
      </c>
      <c r="H74" s="7">
        <f>Tabla1[[#This Row],[Diferencia]]/Tabla1[[#This Row],[Recepcion]]</f>
        <v>0</v>
      </c>
      <c r="I74" s="6">
        <v>0.6</v>
      </c>
      <c r="J74" s="8">
        <f>Tabla1[[#This Row],[Costo ]]*Tabla1[[#This Row],[Diferencia]]</f>
        <v>0</v>
      </c>
    </row>
    <row r="75" spans="1:10" x14ac:dyDescent="0.25">
      <c r="A75" s="14">
        <v>3586</v>
      </c>
      <c r="B75" s="13" t="s">
        <v>68</v>
      </c>
      <c r="C75" s="6">
        <v>13</v>
      </c>
      <c r="D75" s="6">
        <v>19</v>
      </c>
      <c r="E75" s="6">
        <v>16</v>
      </c>
      <c r="F75" s="6"/>
      <c r="G75" s="6">
        <f>Tabla1[[#This Row],[Ventas]]+Tabla1[[#This Row],[Fisico]]-Tabla1[[#This Row],[Sistema]]</f>
        <v>3</v>
      </c>
      <c r="H75" s="7">
        <f>Tabla1[[#This Row],[Diferencia]]/Tabla1[[#This Row],[Recepcion]]</f>
        <v>0.15789473684210525</v>
      </c>
      <c r="I75" s="6">
        <v>0.42</v>
      </c>
      <c r="J75" s="8">
        <f>Tabla1[[#This Row],[Costo ]]*Tabla1[[#This Row],[Diferencia]]</f>
        <v>1.26</v>
      </c>
    </row>
    <row r="76" spans="1:10" x14ac:dyDescent="0.25">
      <c r="A76" s="14">
        <v>3655</v>
      </c>
      <c r="B76" s="13" t="s">
        <v>65</v>
      </c>
      <c r="C76" s="6">
        <v>53</v>
      </c>
      <c r="D76" s="6">
        <v>29</v>
      </c>
      <c r="E76" s="6">
        <f>18+35</f>
        <v>53</v>
      </c>
      <c r="F76" s="6">
        <v>0</v>
      </c>
      <c r="G76" s="6">
        <f>Tabla1[[#This Row],[Ventas]]+Tabla1[[#This Row],[Fisico]]-Tabla1[[#This Row],[Sistema]]</f>
        <v>0</v>
      </c>
      <c r="H76" s="7">
        <f>Tabla1[[#This Row],[Diferencia]]/Tabla1[[#This Row],[Recepcion]]</f>
        <v>0</v>
      </c>
      <c r="I76" s="6">
        <v>0.68</v>
      </c>
      <c r="J76" s="8">
        <f>Tabla1[[#This Row],[Costo ]]*Tabla1[[#This Row],[Diferencia]]</f>
        <v>0</v>
      </c>
    </row>
    <row r="77" spans="1:10" x14ac:dyDescent="0.25">
      <c r="A77" s="14">
        <v>4218</v>
      </c>
      <c r="B77" s="13" t="s">
        <v>67</v>
      </c>
      <c r="C77" s="6">
        <v>12</v>
      </c>
      <c r="D77" s="6"/>
      <c r="E77" s="6">
        <v>2</v>
      </c>
      <c r="F77" s="6">
        <v>0</v>
      </c>
      <c r="G77" s="6">
        <f>Tabla1[[#This Row],[Ventas]]+Tabla1[[#This Row],[Fisico]]-Tabla1[[#This Row],[Sistema]]</f>
        <v>-10</v>
      </c>
      <c r="H77" s="7">
        <v>0</v>
      </c>
      <c r="I77" s="6">
        <v>2.84</v>
      </c>
      <c r="J77" s="8">
        <f>Tabla1[[#This Row],[Costo ]]*Tabla1[[#This Row],[Diferencia]]</f>
        <v>-28.4</v>
      </c>
    </row>
    <row r="78" spans="1:10" x14ac:dyDescent="0.25">
      <c r="A78" s="14">
        <v>5499</v>
      </c>
      <c r="B78" s="13" t="s">
        <v>66</v>
      </c>
      <c r="C78" s="6">
        <v>20</v>
      </c>
      <c r="D78" s="6"/>
      <c r="E78" s="6">
        <v>20</v>
      </c>
      <c r="F78" s="6"/>
      <c r="G78" s="6">
        <f>Tabla1[[#This Row],[Ventas]]+Tabla1[[#This Row],[Fisico]]-Tabla1[[#This Row],[Sistema]]</f>
        <v>0</v>
      </c>
      <c r="H78" s="7">
        <v>0</v>
      </c>
      <c r="I78" s="6"/>
      <c r="J78" s="8">
        <f>Tabla1[[#This Row],[Costo ]]*Tabla1[[#This Row],[Diferencia]]</f>
        <v>0</v>
      </c>
    </row>
    <row r="79" spans="1:10" hidden="1" x14ac:dyDescent="0.25">
      <c r="A79">
        <v>6125</v>
      </c>
      <c r="B79" s="1" t="s">
        <v>106</v>
      </c>
      <c r="C79">
        <v>0</v>
      </c>
      <c r="G79">
        <f>Tabla1[[#This Row],[Ventas]]+Tabla1[[#This Row],[Fisico]]-Tabla1[[#This Row],[Sistema]]</f>
        <v>0</v>
      </c>
      <c r="H79" s="2" t="e">
        <f>Tabla1[[#This Row],[Diferencia]]/Tabla1[[#This Row],[Recepcion]]</f>
        <v>#DIV/0!</v>
      </c>
      <c r="J79" s="3">
        <f>Tabla1[[#This Row],[Costo ]]*Tabla1[[#This Row],[Diferencia]]</f>
        <v>0</v>
      </c>
    </row>
    <row r="80" spans="1:10" hidden="1" x14ac:dyDescent="0.25">
      <c r="A80">
        <v>6266</v>
      </c>
      <c r="B80" s="1" t="s">
        <v>91</v>
      </c>
      <c r="C80">
        <v>0</v>
      </c>
      <c r="G80">
        <f>Tabla1[[#This Row],[Ventas]]+Tabla1[[#This Row],[Fisico]]-Tabla1[[#This Row],[Sistema]]</f>
        <v>0</v>
      </c>
      <c r="H80" s="2" t="e">
        <f>Tabla1[[#This Row],[Diferencia]]/Tabla1[[#This Row],[Recepcion]]</f>
        <v>#DIV/0!</v>
      </c>
      <c r="J80" s="3">
        <f>Tabla1[[#This Row],[Costo ]]*Tabla1[[#This Row],[Diferencia]]</f>
        <v>0</v>
      </c>
    </row>
    <row r="81" spans="1:10" x14ac:dyDescent="0.25">
      <c r="A81" s="14">
        <v>6370</v>
      </c>
      <c r="B81" s="13" t="s">
        <v>29</v>
      </c>
      <c r="C81" s="6">
        <v>61</v>
      </c>
      <c r="D81" s="6"/>
      <c r="E81" s="6">
        <f>58</f>
        <v>58</v>
      </c>
      <c r="F81" s="6">
        <v>0</v>
      </c>
      <c r="G81" s="6">
        <f>Tabla1[[#This Row],[Ventas]]+Tabla1[[#This Row],[Fisico]]-Tabla1[[#This Row],[Sistema]]</f>
        <v>-3</v>
      </c>
      <c r="H81" s="7">
        <v>0</v>
      </c>
      <c r="I81" s="6">
        <v>1.71</v>
      </c>
      <c r="J81" s="8">
        <f>Tabla1[[#This Row],[Costo ]]*Tabla1[[#This Row],[Diferencia]]</f>
        <v>-5.13</v>
      </c>
    </row>
    <row r="82" spans="1:10" hidden="1" x14ac:dyDescent="0.25">
      <c r="A82">
        <v>6731</v>
      </c>
      <c r="B82" s="1" t="s">
        <v>105</v>
      </c>
      <c r="C82">
        <v>0</v>
      </c>
      <c r="G82">
        <f>Tabla1[[#This Row],[Ventas]]+Tabla1[[#This Row],[Fisico]]-Tabla1[[#This Row],[Sistema]]</f>
        <v>0</v>
      </c>
      <c r="H82" s="2" t="e">
        <f>Tabla1[[#This Row],[Diferencia]]/Tabla1[[#This Row],[Recepcion]]</f>
        <v>#DIV/0!</v>
      </c>
      <c r="J82" s="3">
        <f>Tabla1[[#This Row],[Costo ]]*Tabla1[[#This Row],[Diferencia]]</f>
        <v>0</v>
      </c>
    </row>
    <row r="83" spans="1:10" hidden="1" x14ac:dyDescent="0.25">
      <c r="A83">
        <v>6732</v>
      </c>
      <c r="B83" s="1" t="s">
        <v>19</v>
      </c>
      <c r="C83">
        <v>0</v>
      </c>
      <c r="G83">
        <f>Tabla1[[#This Row],[Ventas]]+Tabla1[[#This Row],[Fisico]]-Tabla1[[#This Row],[Sistema]]</f>
        <v>0</v>
      </c>
      <c r="H83" s="2" t="e">
        <f>Tabla1[[#This Row],[Diferencia]]/Tabla1[[#This Row],[Recepcion]]</f>
        <v>#DIV/0!</v>
      </c>
      <c r="J83" s="3">
        <f>Tabla1[[#This Row],[Costo ]]*Tabla1[[#This Row],[Diferencia]]</f>
        <v>0</v>
      </c>
    </row>
    <row r="84" spans="1:10" hidden="1" x14ac:dyDescent="0.25">
      <c r="A84">
        <v>6967</v>
      </c>
      <c r="B84" s="1" t="s">
        <v>108</v>
      </c>
      <c r="C84">
        <v>0</v>
      </c>
      <c r="G84">
        <f>Tabla1[[#This Row],[Ventas]]+Tabla1[[#This Row],[Fisico]]-Tabla1[[#This Row],[Sistema]]</f>
        <v>0</v>
      </c>
      <c r="H84" s="2" t="e">
        <f>Tabla1[[#This Row],[Diferencia]]/Tabla1[[#This Row],[Recepcion]]</f>
        <v>#DIV/0!</v>
      </c>
      <c r="J84" s="3">
        <f>Tabla1[[#This Row],[Costo ]]*Tabla1[[#This Row],[Diferencia]]</f>
        <v>0</v>
      </c>
    </row>
    <row r="85" spans="1:10" hidden="1" x14ac:dyDescent="0.25">
      <c r="A85">
        <v>7403</v>
      </c>
      <c r="B85" s="1" t="s">
        <v>7</v>
      </c>
      <c r="C85">
        <v>0</v>
      </c>
      <c r="G85">
        <f>Tabla1[[#This Row],[Ventas]]+Tabla1[[#This Row],[Fisico]]-Tabla1[[#This Row],[Sistema]]</f>
        <v>0</v>
      </c>
      <c r="H85" s="2" t="e">
        <f>Tabla1[[#This Row],[Diferencia]]/Tabla1[[#This Row],[Recepcion]]</f>
        <v>#DIV/0!</v>
      </c>
      <c r="J85" s="3">
        <f>Tabla1[[#This Row],[Costo ]]*Tabla1[[#This Row],[Diferencia]]</f>
        <v>0</v>
      </c>
    </row>
    <row r="86" spans="1:10" x14ac:dyDescent="0.25">
      <c r="A86" s="14">
        <v>7832</v>
      </c>
      <c r="B86" s="13" t="s">
        <v>140</v>
      </c>
      <c r="C86" s="6">
        <v>4.8949999999999996</v>
      </c>
      <c r="D86" s="6">
        <v>8</v>
      </c>
      <c r="E86" s="6">
        <v>0</v>
      </c>
      <c r="F86" s="6">
        <v>0</v>
      </c>
      <c r="G86" s="6">
        <f>Tabla1[[#This Row],[Ventas]]+Tabla1[[#This Row],[Fisico]]-Tabla1[[#This Row],[Sistema]]</f>
        <v>-4.8949999999999996</v>
      </c>
      <c r="H86" s="7">
        <f>Tabla1[[#This Row],[Diferencia]]/Tabla1[[#This Row],[Recepcion]]</f>
        <v>-0.61187499999999995</v>
      </c>
      <c r="I86" s="6">
        <v>1.1200000000000001</v>
      </c>
      <c r="J86" s="8">
        <f>Tabla1[[#This Row],[Costo ]]*Tabla1[[#This Row],[Diferencia]]</f>
        <v>-5.4824000000000002</v>
      </c>
    </row>
    <row r="87" spans="1:10" x14ac:dyDescent="0.25">
      <c r="A87" s="14">
        <v>9812</v>
      </c>
      <c r="B87" s="13" t="s">
        <v>98</v>
      </c>
      <c r="C87" s="6">
        <v>5</v>
      </c>
      <c r="D87" s="6">
        <v>10</v>
      </c>
      <c r="E87" s="6">
        <v>5</v>
      </c>
      <c r="F87" s="6">
        <v>0</v>
      </c>
      <c r="G87" s="6">
        <f>Tabla1[[#This Row],[Ventas]]+Tabla1[[#This Row],[Fisico]]-Tabla1[[#This Row],[Sistema]]</f>
        <v>0</v>
      </c>
      <c r="H87" s="7">
        <f>Tabla1[[#This Row],[Diferencia]]/Tabla1[[#This Row],[Recepcion]]</f>
        <v>0</v>
      </c>
      <c r="I87" s="6">
        <v>1.52</v>
      </c>
      <c r="J87" s="8">
        <f>Tabla1[[#This Row],[Costo ]]*Tabla1[[#This Row],[Diferencia]]</f>
        <v>0</v>
      </c>
    </row>
    <row r="88" spans="1:10" x14ac:dyDescent="0.25">
      <c r="A88" s="14">
        <v>11029</v>
      </c>
      <c r="B88" s="13" t="s">
        <v>97</v>
      </c>
      <c r="C88" s="6">
        <v>6</v>
      </c>
      <c r="D88" s="6">
        <v>22</v>
      </c>
      <c r="E88" s="6">
        <v>4</v>
      </c>
      <c r="F88" s="6">
        <v>0</v>
      </c>
      <c r="G88" s="6">
        <f>Tabla1[[#This Row],[Ventas]]+Tabla1[[#This Row],[Fisico]]-Tabla1[[#This Row],[Sistema]]</f>
        <v>-2</v>
      </c>
      <c r="H88" s="7">
        <f>Tabla1[[#This Row],[Diferencia]]/Tabla1[[#This Row],[Recepcion]]</f>
        <v>-9.0909090909090912E-2</v>
      </c>
      <c r="I88" s="6">
        <v>0.82</v>
      </c>
      <c r="J88" s="8">
        <f>Tabla1[[#This Row],[Costo ]]*Tabla1[[#This Row],[Diferencia]]</f>
        <v>-1.64</v>
      </c>
    </row>
    <row r="89" spans="1:10" x14ac:dyDescent="0.25">
      <c r="A89" s="14">
        <v>11905</v>
      </c>
      <c r="B89" s="13" t="s">
        <v>33</v>
      </c>
      <c r="C89" s="6">
        <v>14</v>
      </c>
      <c r="D89" s="6">
        <v>56</v>
      </c>
      <c r="E89" s="6">
        <v>0</v>
      </c>
      <c r="F89" s="6">
        <v>0</v>
      </c>
      <c r="G89" s="6">
        <f>Tabla1[[#This Row],[Ventas]]+Tabla1[[#This Row],[Fisico]]-Tabla1[[#This Row],[Sistema]]</f>
        <v>-14</v>
      </c>
      <c r="H89" s="7">
        <f>Tabla1[[#This Row],[Diferencia]]/Tabla1[[#This Row],[Recepcion]]</f>
        <v>-0.25</v>
      </c>
      <c r="I89" s="6"/>
      <c r="J89" s="8">
        <f>Tabla1[[#This Row],[Costo ]]*Tabla1[[#This Row],[Diferencia]]</f>
        <v>0</v>
      </c>
    </row>
    <row r="90" spans="1:10" hidden="1" x14ac:dyDescent="0.25">
      <c r="A90">
        <v>13619</v>
      </c>
      <c r="B90" s="1" t="s">
        <v>95</v>
      </c>
      <c r="C90">
        <v>0</v>
      </c>
      <c r="G90">
        <f>Tabla1[[#This Row],[Ventas]]+Tabla1[[#This Row],[Fisico]]-Tabla1[[#This Row],[Sistema]]</f>
        <v>0</v>
      </c>
      <c r="H90" s="2" t="e">
        <f>Tabla1[[#This Row],[Diferencia]]/Tabla1[[#This Row],[Recepcion]]</f>
        <v>#DIV/0!</v>
      </c>
      <c r="J90" s="3">
        <f>Tabla1[[#This Row],[Costo ]]*Tabla1[[#This Row],[Diferencia]]</f>
        <v>0</v>
      </c>
    </row>
    <row r="91" spans="1:10" x14ac:dyDescent="0.25">
      <c r="A91" s="14">
        <v>13731</v>
      </c>
      <c r="B91" s="13" t="s">
        <v>17</v>
      </c>
      <c r="C91" s="6">
        <v>9</v>
      </c>
      <c r="D91" s="6"/>
      <c r="E91" s="6">
        <v>5</v>
      </c>
      <c r="F91" s="6">
        <v>0</v>
      </c>
      <c r="G91" s="6">
        <f>Tabla1[[#This Row],[Ventas]]+Tabla1[[#This Row],[Fisico]]-Tabla1[[#This Row],[Sistema]]</f>
        <v>-4</v>
      </c>
      <c r="H91" s="7">
        <v>0</v>
      </c>
      <c r="I91" s="6">
        <v>0.2</v>
      </c>
      <c r="J91" s="8">
        <f>Tabla1[[#This Row],[Costo ]]*Tabla1[[#This Row],[Diferencia]]</f>
        <v>-0.8</v>
      </c>
    </row>
    <row r="92" spans="1:10" x14ac:dyDescent="0.25">
      <c r="A92" s="14">
        <v>14211</v>
      </c>
      <c r="B92" s="13" t="s">
        <v>93</v>
      </c>
      <c r="C92" s="6">
        <v>14</v>
      </c>
      <c r="D92" s="6">
        <v>4</v>
      </c>
      <c r="E92" s="6">
        <v>12</v>
      </c>
      <c r="F92" s="6">
        <v>0</v>
      </c>
      <c r="G92" s="6">
        <f>Tabla1[[#This Row],[Ventas]]+Tabla1[[#This Row],[Fisico]]-Tabla1[[#This Row],[Sistema]]</f>
        <v>-2</v>
      </c>
      <c r="H92" s="7">
        <f>Tabla1[[#This Row],[Diferencia]]/Tabla1[[#This Row],[Recepcion]]</f>
        <v>-0.5</v>
      </c>
      <c r="I92" s="6">
        <v>1.69</v>
      </c>
      <c r="J92" s="8">
        <f>Tabla1[[#This Row],[Costo ]]*Tabla1[[#This Row],[Diferencia]]</f>
        <v>-3.38</v>
      </c>
    </row>
    <row r="93" spans="1:10" hidden="1" x14ac:dyDescent="0.25">
      <c r="A93">
        <v>14264</v>
      </c>
      <c r="B93" s="1" t="s">
        <v>92</v>
      </c>
      <c r="C93">
        <v>0</v>
      </c>
      <c r="E93">
        <v>0</v>
      </c>
      <c r="F93">
        <v>0</v>
      </c>
      <c r="G93">
        <f>Tabla1[[#This Row],[Ventas]]+Tabla1[[#This Row],[Fisico]]-Tabla1[[#This Row],[Sistema]]</f>
        <v>0</v>
      </c>
      <c r="H93" s="2" t="e">
        <f>Tabla1[[#This Row],[Diferencia]]/Tabla1[[#This Row],[Recepcion]]</f>
        <v>#DIV/0!</v>
      </c>
      <c r="J93" s="3">
        <f>Tabla1[[#This Row],[Costo ]]*Tabla1[[#This Row],[Diferencia]]</f>
        <v>0</v>
      </c>
    </row>
    <row r="94" spans="1:10" hidden="1" x14ac:dyDescent="0.25">
      <c r="A94">
        <v>15128</v>
      </c>
      <c r="B94" s="1" t="s">
        <v>122</v>
      </c>
      <c r="C94">
        <v>0</v>
      </c>
      <c r="G94">
        <f>Tabla1[[#This Row],[Ventas]]+Tabla1[[#This Row],[Fisico]]-Tabla1[[#This Row],[Sistema]]</f>
        <v>0</v>
      </c>
      <c r="H94" s="2" t="e">
        <f>Tabla1[[#This Row],[Diferencia]]/Tabla1[[#This Row],[Recepcion]]</f>
        <v>#DIV/0!</v>
      </c>
      <c r="J94" s="3">
        <f>Tabla1[[#This Row],[Costo ]]*Tabla1[[#This Row],[Diferencia]]</f>
        <v>0</v>
      </c>
    </row>
    <row r="95" spans="1:10" hidden="1" x14ac:dyDescent="0.25">
      <c r="A95">
        <v>19634</v>
      </c>
      <c r="B95" s="1" t="s">
        <v>104</v>
      </c>
      <c r="C95">
        <v>0</v>
      </c>
      <c r="G95">
        <f>Tabla1[[#This Row],[Ventas]]+Tabla1[[#This Row],[Fisico]]-Tabla1[[#This Row],[Sistema]]</f>
        <v>0</v>
      </c>
      <c r="H95" s="2" t="e">
        <f>Tabla1[[#This Row],[Diferencia]]/Tabla1[[#This Row],[Recepcion]]</f>
        <v>#DIV/0!</v>
      </c>
      <c r="J95" s="3">
        <f>Tabla1[[#This Row],[Costo ]]*Tabla1[[#This Row],[Diferencia]]</f>
        <v>0</v>
      </c>
    </row>
    <row r="96" spans="1:10" hidden="1" x14ac:dyDescent="0.25">
      <c r="A96">
        <v>19636</v>
      </c>
      <c r="B96" s="1" t="s">
        <v>18</v>
      </c>
      <c r="C96">
        <v>0</v>
      </c>
      <c r="G96">
        <f>Tabla1[[#This Row],[Ventas]]+Tabla1[[#This Row],[Fisico]]-Tabla1[[#This Row],[Sistema]]</f>
        <v>0</v>
      </c>
      <c r="H96" s="2" t="e">
        <f>Tabla1[[#This Row],[Diferencia]]/Tabla1[[#This Row],[Recepcion]]</f>
        <v>#DIV/0!</v>
      </c>
      <c r="J96" s="3">
        <f>Tabla1[[#This Row],[Costo ]]*Tabla1[[#This Row],[Diferencia]]</f>
        <v>0</v>
      </c>
    </row>
    <row r="97" spans="1:10" hidden="1" x14ac:dyDescent="0.25">
      <c r="A97">
        <v>19646</v>
      </c>
      <c r="B97" s="1" t="s">
        <v>13</v>
      </c>
      <c r="C97">
        <v>0</v>
      </c>
      <c r="G97">
        <f>Tabla1[[#This Row],[Ventas]]+Tabla1[[#This Row],[Fisico]]-Tabla1[[#This Row],[Sistema]]</f>
        <v>0</v>
      </c>
      <c r="H97" s="2" t="e">
        <f>Tabla1[[#This Row],[Diferencia]]/Tabla1[[#This Row],[Recepcion]]</f>
        <v>#DIV/0!</v>
      </c>
      <c r="J97" s="3">
        <f>Tabla1[[#This Row],[Costo ]]*Tabla1[[#This Row],[Diferencia]]</f>
        <v>0</v>
      </c>
    </row>
    <row r="98" spans="1:10" hidden="1" x14ac:dyDescent="0.25">
      <c r="A98">
        <v>19647</v>
      </c>
      <c r="B98" s="1" t="s">
        <v>149</v>
      </c>
      <c r="C98">
        <v>0</v>
      </c>
      <c r="G98">
        <f>Tabla1[[#This Row],[Ventas]]+Tabla1[[#This Row],[Fisico]]-Tabla1[[#This Row],[Sistema]]</f>
        <v>0</v>
      </c>
      <c r="H98" s="2" t="e">
        <f>Tabla1[[#This Row],[Diferencia]]/Tabla1[[#This Row],[Recepcion]]</f>
        <v>#DIV/0!</v>
      </c>
      <c r="J98" s="3">
        <f>Tabla1[[#This Row],[Costo ]]*Tabla1[[#This Row],[Diferencia]]</f>
        <v>0</v>
      </c>
    </row>
    <row r="99" spans="1:10" x14ac:dyDescent="0.25">
      <c r="A99" s="14">
        <v>21295</v>
      </c>
      <c r="B99" s="13" t="s">
        <v>99</v>
      </c>
      <c r="C99" s="6">
        <v>1</v>
      </c>
      <c r="D99" s="6"/>
      <c r="E99" s="6">
        <v>1</v>
      </c>
      <c r="F99" s="6">
        <v>0</v>
      </c>
      <c r="G99" s="6">
        <f>Tabla1[[#This Row],[Ventas]]+Tabla1[[#This Row],[Fisico]]-Tabla1[[#This Row],[Sistema]]</f>
        <v>0</v>
      </c>
      <c r="H99" s="7">
        <v>0</v>
      </c>
      <c r="I99" s="6">
        <v>1.1100000000000001</v>
      </c>
      <c r="J99" s="8">
        <f>Tabla1[[#This Row],[Costo ]]*Tabla1[[#This Row],[Diferencia]]</f>
        <v>0</v>
      </c>
    </row>
    <row r="100" spans="1:10" hidden="1" x14ac:dyDescent="0.25">
      <c r="A100">
        <v>21296</v>
      </c>
      <c r="B100" s="1" t="s">
        <v>121</v>
      </c>
      <c r="C100">
        <v>0</v>
      </c>
      <c r="G100">
        <f>Tabla1[[#This Row],[Ventas]]+Tabla1[[#This Row],[Fisico]]-Tabla1[[#This Row],[Sistema]]</f>
        <v>0</v>
      </c>
      <c r="H100" s="2" t="e">
        <f>Tabla1[[#This Row],[Diferencia]]/Tabla1[[#This Row],[Recepcion]]</f>
        <v>#DIV/0!</v>
      </c>
      <c r="J100" s="3">
        <f>Tabla1[[#This Row],[Costo ]]*Tabla1[[#This Row],[Diferencia]]</f>
        <v>0</v>
      </c>
    </row>
    <row r="101" spans="1:10" hidden="1" x14ac:dyDescent="0.25">
      <c r="A101">
        <v>21297</v>
      </c>
      <c r="B101" s="1" t="s">
        <v>11</v>
      </c>
      <c r="C101">
        <v>0</v>
      </c>
      <c r="G101">
        <f>Tabla1[[#This Row],[Ventas]]+Tabla1[[#This Row],[Fisico]]-Tabla1[[#This Row],[Sistema]]</f>
        <v>0</v>
      </c>
      <c r="H101" s="2" t="e">
        <f>Tabla1[[#This Row],[Diferencia]]/Tabla1[[#This Row],[Recepcion]]</f>
        <v>#DIV/0!</v>
      </c>
      <c r="J101" s="3">
        <f>Tabla1[[#This Row],[Costo ]]*Tabla1[[#This Row],[Diferencia]]</f>
        <v>0</v>
      </c>
    </row>
    <row r="102" spans="1:10" hidden="1" x14ac:dyDescent="0.25">
      <c r="A102">
        <v>21298</v>
      </c>
      <c r="B102" s="1" t="s">
        <v>112</v>
      </c>
      <c r="C102">
        <v>0</v>
      </c>
      <c r="G102">
        <f>Tabla1[[#This Row],[Ventas]]+Tabla1[[#This Row],[Fisico]]-Tabla1[[#This Row],[Sistema]]</f>
        <v>0</v>
      </c>
      <c r="H102" s="2" t="e">
        <f>Tabla1[[#This Row],[Diferencia]]/Tabla1[[#This Row],[Recepcion]]</f>
        <v>#DIV/0!</v>
      </c>
      <c r="J102" s="3">
        <f>Tabla1[[#This Row],[Costo ]]*Tabla1[[#This Row],[Diferencia]]</f>
        <v>0</v>
      </c>
    </row>
    <row r="103" spans="1:10" hidden="1" x14ac:dyDescent="0.25">
      <c r="A103">
        <v>21299</v>
      </c>
      <c r="B103" s="1" t="s">
        <v>160</v>
      </c>
      <c r="C103">
        <v>0</v>
      </c>
      <c r="D103">
        <v>2</v>
      </c>
      <c r="G103">
        <f>Tabla1[[#This Row],[Ventas]]+Tabla1[[#This Row],[Fisico]]-Tabla1[[#This Row],[Sistema]]</f>
        <v>0</v>
      </c>
      <c r="H103" s="2">
        <f>Tabla1[[#This Row],[Diferencia]]/Tabla1[[#This Row],[Recepcion]]</f>
        <v>0</v>
      </c>
      <c r="I103">
        <v>2</v>
      </c>
      <c r="J103" s="3">
        <f>Tabla1[[#This Row],[Costo ]]*Tabla1[[#This Row],[Diferencia]]</f>
        <v>0</v>
      </c>
    </row>
    <row r="104" spans="1:10" hidden="1" x14ac:dyDescent="0.25">
      <c r="A104">
        <v>21300</v>
      </c>
      <c r="B104" s="1" t="s">
        <v>64</v>
      </c>
      <c r="C104">
        <v>0</v>
      </c>
      <c r="D104">
        <v>2</v>
      </c>
      <c r="G104">
        <f>Tabla1[[#This Row],[Ventas]]+Tabla1[[#This Row],[Fisico]]-Tabla1[[#This Row],[Sistema]]</f>
        <v>0</v>
      </c>
      <c r="H104" s="2">
        <f>Tabla1[[#This Row],[Diferencia]]/Tabla1[[#This Row],[Recepcion]]</f>
        <v>0</v>
      </c>
      <c r="I104">
        <v>2.1800000000000002</v>
      </c>
      <c r="J104" s="3">
        <f>Tabla1[[#This Row],[Costo ]]*Tabla1[[#This Row],[Diferencia]]</f>
        <v>0</v>
      </c>
    </row>
    <row r="105" spans="1:10" hidden="1" x14ac:dyDescent="0.25">
      <c r="A105">
        <v>21377</v>
      </c>
      <c r="B105" s="1" t="s">
        <v>21</v>
      </c>
      <c r="C105">
        <v>0</v>
      </c>
      <c r="G105">
        <f>Tabla1[[#This Row],[Ventas]]+Tabla1[[#This Row],[Fisico]]-Tabla1[[#This Row],[Sistema]]</f>
        <v>0</v>
      </c>
      <c r="H105" s="2" t="e">
        <f>Tabla1[[#This Row],[Diferencia]]/Tabla1[[#This Row],[Recepcion]]</f>
        <v>#DIV/0!</v>
      </c>
      <c r="J105" s="3">
        <f>Tabla1[[#This Row],[Costo ]]*Tabla1[[#This Row],[Diferencia]]</f>
        <v>0</v>
      </c>
    </row>
    <row r="106" spans="1:10" hidden="1" x14ac:dyDescent="0.25">
      <c r="A106">
        <v>21447</v>
      </c>
      <c r="B106" s="1" t="s">
        <v>23</v>
      </c>
      <c r="C106">
        <v>0</v>
      </c>
      <c r="G106">
        <f>Tabla1[[#This Row],[Ventas]]+Tabla1[[#This Row],[Fisico]]-Tabla1[[#This Row],[Sistema]]</f>
        <v>0</v>
      </c>
      <c r="H106" s="2" t="e">
        <f>Tabla1[[#This Row],[Diferencia]]/Tabla1[[#This Row],[Recepcion]]</f>
        <v>#DIV/0!</v>
      </c>
      <c r="J106" s="3">
        <f>Tabla1[[#This Row],[Costo ]]*Tabla1[[#This Row],[Diferencia]]</f>
        <v>0</v>
      </c>
    </row>
    <row r="107" spans="1:10" hidden="1" x14ac:dyDescent="0.25">
      <c r="A107">
        <v>21454</v>
      </c>
      <c r="B107" s="1" t="s">
        <v>10</v>
      </c>
      <c r="C107">
        <v>0</v>
      </c>
      <c r="G107">
        <f>Tabla1[[#This Row],[Ventas]]+Tabla1[[#This Row],[Fisico]]-Tabla1[[#This Row],[Sistema]]</f>
        <v>0</v>
      </c>
      <c r="H107" s="2" t="e">
        <f>Tabla1[[#This Row],[Diferencia]]/Tabla1[[#This Row],[Recepcion]]</f>
        <v>#DIV/0!</v>
      </c>
      <c r="J107" s="3">
        <f>Tabla1[[#This Row],[Costo ]]*Tabla1[[#This Row],[Diferencia]]</f>
        <v>0</v>
      </c>
    </row>
    <row r="108" spans="1:10" hidden="1" x14ac:dyDescent="0.25">
      <c r="A108">
        <v>21455</v>
      </c>
      <c r="B108" s="1" t="s">
        <v>12</v>
      </c>
      <c r="C108">
        <v>0</v>
      </c>
      <c r="G108">
        <f>Tabla1[[#This Row],[Ventas]]+Tabla1[[#This Row],[Fisico]]-Tabla1[[#This Row],[Sistema]]</f>
        <v>0</v>
      </c>
      <c r="H108" s="2" t="e">
        <f>Tabla1[[#This Row],[Diferencia]]/Tabla1[[#This Row],[Recepcion]]</f>
        <v>#DIV/0!</v>
      </c>
      <c r="J108" s="3">
        <f>Tabla1[[#This Row],[Costo ]]*Tabla1[[#This Row],[Diferencia]]</f>
        <v>0</v>
      </c>
    </row>
    <row r="109" spans="1:10" hidden="1" x14ac:dyDescent="0.25">
      <c r="A109">
        <v>21524</v>
      </c>
      <c r="B109" s="1" t="s">
        <v>15</v>
      </c>
      <c r="C109">
        <v>0</v>
      </c>
      <c r="G109">
        <f>Tabla1[[#This Row],[Ventas]]+Tabla1[[#This Row],[Fisico]]-Tabla1[[#This Row],[Sistema]]</f>
        <v>0</v>
      </c>
      <c r="H109" s="2" t="e">
        <f>Tabla1[[#This Row],[Diferencia]]/Tabla1[[#This Row],[Recepcion]]</f>
        <v>#DIV/0!</v>
      </c>
      <c r="J109" s="3">
        <f>Tabla1[[#This Row],[Costo ]]*Tabla1[[#This Row],[Diferencia]]</f>
        <v>0</v>
      </c>
    </row>
    <row r="110" spans="1:10" hidden="1" x14ac:dyDescent="0.25">
      <c r="A110">
        <v>21526</v>
      </c>
      <c r="B110" s="1" t="s">
        <v>24</v>
      </c>
      <c r="C110">
        <v>0</v>
      </c>
      <c r="G110">
        <f>Tabla1[[#This Row],[Ventas]]+Tabla1[[#This Row],[Fisico]]-Tabla1[[#This Row],[Sistema]]</f>
        <v>0</v>
      </c>
      <c r="H110" s="2" t="e">
        <f>Tabla1[[#This Row],[Diferencia]]/Tabla1[[#This Row],[Recepcion]]</f>
        <v>#DIV/0!</v>
      </c>
      <c r="J110" s="3">
        <f>Tabla1[[#This Row],[Costo ]]*Tabla1[[#This Row],[Diferencia]]</f>
        <v>0</v>
      </c>
    </row>
    <row r="111" spans="1:10" hidden="1" x14ac:dyDescent="0.25">
      <c r="A111">
        <v>21527</v>
      </c>
      <c r="B111" s="1" t="s">
        <v>144</v>
      </c>
      <c r="C111">
        <v>0</v>
      </c>
      <c r="G111">
        <f>Tabla1[[#This Row],[Ventas]]+Tabla1[[#This Row],[Fisico]]-Tabla1[[#This Row],[Sistema]]</f>
        <v>0</v>
      </c>
      <c r="H111" s="2" t="e">
        <f>Tabla1[[#This Row],[Diferencia]]/Tabla1[[#This Row],[Recepcion]]</f>
        <v>#DIV/0!</v>
      </c>
      <c r="J111" s="3">
        <f>Tabla1[[#This Row],[Costo ]]*Tabla1[[#This Row],[Diferencia]]</f>
        <v>0</v>
      </c>
    </row>
    <row r="112" spans="1:10" hidden="1" x14ac:dyDescent="0.25">
      <c r="A112">
        <v>21657</v>
      </c>
      <c r="B112" s="1" t="s">
        <v>102</v>
      </c>
      <c r="C112">
        <v>0</v>
      </c>
      <c r="G112">
        <f>Tabla1[[#This Row],[Ventas]]+Tabla1[[#This Row],[Fisico]]-Tabla1[[#This Row],[Sistema]]</f>
        <v>0</v>
      </c>
      <c r="H112" s="2" t="e">
        <f>Tabla1[[#This Row],[Diferencia]]/Tabla1[[#This Row],[Recepcion]]</f>
        <v>#DIV/0!</v>
      </c>
      <c r="J112" s="3">
        <f>Tabla1[[#This Row],[Costo ]]*Tabla1[[#This Row],[Diferencia]]</f>
        <v>0</v>
      </c>
    </row>
    <row r="113" spans="1:10" hidden="1" x14ac:dyDescent="0.25">
      <c r="A113">
        <v>21658</v>
      </c>
      <c r="B113" s="1" t="s">
        <v>22</v>
      </c>
      <c r="C113">
        <v>0</v>
      </c>
      <c r="G113">
        <f>Tabla1[[#This Row],[Ventas]]+Tabla1[[#This Row],[Fisico]]-Tabla1[[#This Row],[Sistema]]</f>
        <v>0</v>
      </c>
      <c r="H113" s="2" t="e">
        <f>Tabla1[[#This Row],[Diferencia]]/Tabla1[[#This Row],[Recepcion]]</f>
        <v>#DIV/0!</v>
      </c>
      <c r="J113" s="3">
        <f>Tabla1[[#This Row],[Costo ]]*Tabla1[[#This Row],[Diferencia]]</f>
        <v>0</v>
      </c>
    </row>
    <row r="114" spans="1:10" hidden="1" x14ac:dyDescent="0.25">
      <c r="A114">
        <v>21707</v>
      </c>
      <c r="B114" s="1" t="s">
        <v>14</v>
      </c>
      <c r="C114">
        <v>0</v>
      </c>
      <c r="G114">
        <f>Tabla1[[#This Row],[Ventas]]+Tabla1[[#This Row],[Fisico]]-Tabla1[[#This Row],[Sistema]]</f>
        <v>0</v>
      </c>
      <c r="H114" s="2" t="e">
        <f>Tabla1[[#This Row],[Diferencia]]/Tabla1[[#This Row],[Recepcion]]</f>
        <v>#DIV/0!</v>
      </c>
      <c r="J114" s="3">
        <f>Tabla1[[#This Row],[Costo ]]*Tabla1[[#This Row],[Diferencia]]</f>
        <v>0</v>
      </c>
    </row>
    <row r="115" spans="1:10" hidden="1" x14ac:dyDescent="0.25">
      <c r="A115">
        <v>21784</v>
      </c>
      <c r="B115" s="1" t="s">
        <v>25</v>
      </c>
      <c r="C115">
        <v>0</v>
      </c>
      <c r="G115">
        <f>Tabla1[[#This Row],[Ventas]]+Tabla1[[#This Row],[Fisico]]-Tabla1[[#This Row],[Sistema]]</f>
        <v>0</v>
      </c>
      <c r="H115" s="2" t="e">
        <f>Tabla1[[#This Row],[Diferencia]]/Tabla1[[#This Row],[Recepcion]]</f>
        <v>#DIV/0!</v>
      </c>
      <c r="J115" s="3">
        <f>Tabla1[[#This Row],[Costo ]]*Tabla1[[#This Row],[Diferencia]]</f>
        <v>0</v>
      </c>
    </row>
    <row r="116" spans="1:10" hidden="1" x14ac:dyDescent="0.25">
      <c r="A116">
        <v>21799</v>
      </c>
      <c r="B116" s="1" t="s">
        <v>63</v>
      </c>
      <c r="C116">
        <v>0</v>
      </c>
      <c r="G116">
        <f>Tabla1[[#This Row],[Ventas]]+Tabla1[[#This Row],[Fisico]]-Tabla1[[#This Row],[Sistema]]</f>
        <v>0</v>
      </c>
      <c r="H116" s="2" t="e">
        <f>Tabla1[[#This Row],[Diferencia]]/Tabla1[[#This Row],[Recepcion]]</f>
        <v>#DIV/0!</v>
      </c>
      <c r="J116" s="3">
        <f>Tabla1[[#This Row],[Costo ]]*Tabla1[[#This Row],[Diferencia]]</f>
        <v>0</v>
      </c>
    </row>
    <row r="117" spans="1:10" hidden="1" x14ac:dyDescent="0.25">
      <c r="A117">
        <v>21899</v>
      </c>
      <c r="B117" s="1" t="s">
        <v>128</v>
      </c>
      <c r="C117">
        <v>0</v>
      </c>
      <c r="G117">
        <f>Tabla1[[#This Row],[Ventas]]+Tabla1[[#This Row],[Fisico]]-Tabla1[[#This Row],[Sistema]]</f>
        <v>0</v>
      </c>
      <c r="H117" s="2" t="e">
        <f>Tabla1[[#This Row],[Diferencia]]/Tabla1[[#This Row],[Recepcion]]</f>
        <v>#DIV/0!</v>
      </c>
      <c r="J117" s="3">
        <f>Tabla1[[#This Row],[Costo ]]*Tabla1[[#This Row],[Diferencia]]</f>
        <v>0</v>
      </c>
    </row>
    <row r="118" spans="1:10" hidden="1" x14ac:dyDescent="0.25">
      <c r="A118">
        <v>22083</v>
      </c>
      <c r="B118" s="1" t="s">
        <v>110</v>
      </c>
      <c r="C118">
        <v>0</v>
      </c>
      <c r="G118">
        <f>Tabla1[[#This Row],[Ventas]]+Tabla1[[#This Row],[Fisico]]-Tabla1[[#This Row],[Sistema]]</f>
        <v>0</v>
      </c>
      <c r="H118" s="2" t="e">
        <f>Tabla1[[#This Row],[Diferencia]]/Tabla1[[#This Row],[Recepcion]]</f>
        <v>#DIV/0!</v>
      </c>
      <c r="J118" s="3">
        <f>Tabla1[[#This Row],[Costo ]]*Tabla1[[#This Row],[Diferencia]]</f>
        <v>0</v>
      </c>
    </row>
    <row r="119" spans="1:10" hidden="1" x14ac:dyDescent="0.25">
      <c r="A119">
        <v>22084</v>
      </c>
      <c r="B119" s="1" t="s">
        <v>141</v>
      </c>
      <c r="C119">
        <v>0</v>
      </c>
      <c r="G119">
        <f>Tabla1[[#This Row],[Ventas]]+Tabla1[[#This Row],[Fisico]]-Tabla1[[#This Row],[Sistema]]</f>
        <v>0</v>
      </c>
      <c r="H119" s="2" t="e">
        <f>Tabla1[[#This Row],[Diferencia]]/Tabla1[[#This Row],[Recepcion]]</f>
        <v>#DIV/0!</v>
      </c>
      <c r="J119" s="3">
        <f>Tabla1[[#This Row],[Costo ]]*Tabla1[[#This Row],[Diferencia]]</f>
        <v>0</v>
      </c>
    </row>
    <row r="120" spans="1:10" hidden="1" x14ac:dyDescent="0.25">
      <c r="A120">
        <v>22405</v>
      </c>
      <c r="B120" s="1" t="s">
        <v>20</v>
      </c>
      <c r="C120">
        <v>0</v>
      </c>
      <c r="G120">
        <f>Tabla1[[#This Row],[Ventas]]+Tabla1[[#This Row],[Fisico]]-Tabla1[[#This Row],[Sistema]]</f>
        <v>0</v>
      </c>
      <c r="H120" s="2" t="e">
        <f>Tabla1[[#This Row],[Diferencia]]/Tabla1[[#This Row],[Recepcion]]</f>
        <v>#DIV/0!</v>
      </c>
      <c r="J120" s="3">
        <f>Tabla1[[#This Row],[Costo ]]*Tabla1[[#This Row],[Diferencia]]</f>
        <v>0</v>
      </c>
    </row>
    <row r="121" spans="1:10" hidden="1" x14ac:dyDescent="0.25">
      <c r="A121">
        <v>22424</v>
      </c>
      <c r="B121" s="1" t="s">
        <v>147</v>
      </c>
      <c r="C121">
        <v>0</v>
      </c>
      <c r="G121">
        <f>Tabla1[[#This Row],[Ventas]]+Tabla1[[#This Row],[Fisico]]-Tabla1[[#This Row],[Sistema]]</f>
        <v>0</v>
      </c>
      <c r="H121" s="2" t="e">
        <f>Tabla1[[#This Row],[Diferencia]]/Tabla1[[#This Row],[Recepcion]]</f>
        <v>#DIV/0!</v>
      </c>
      <c r="J121" s="3">
        <f>Tabla1[[#This Row],[Costo ]]*Tabla1[[#This Row],[Diferencia]]</f>
        <v>0</v>
      </c>
    </row>
    <row r="122" spans="1:10" hidden="1" x14ac:dyDescent="0.25">
      <c r="A122">
        <v>22425</v>
      </c>
      <c r="B122" s="1" t="s">
        <v>111</v>
      </c>
      <c r="C122">
        <v>0</v>
      </c>
      <c r="D122">
        <v>3</v>
      </c>
      <c r="G122">
        <f>Tabla1[[#This Row],[Ventas]]+Tabla1[[#This Row],[Fisico]]-Tabla1[[#This Row],[Sistema]]</f>
        <v>0</v>
      </c>
      <c r="H122" s="2">
        <f>Tabla1[[#This Row],[Diferencia]]/Tabla1[[#This Row],[Recepcion]]</f>
        <v>0</v>
      </c>
      <c r="I122">
        <v>3.5</v>
      </c>
      <c r="J122" s="3">
        <f>Tabla1[[#This Row],[Costo ]]*Tabla1[[#This Row],[Diferencia]]</f>
        <v>0</v>
      </c>
    </row>
    <row r="123" spans="1:10" hidden="1" x14ac:dyDescent="0.25">
      <c r="A123">
        <v>22481</v>
      </c>
      <c r="B123" s="1" t="s">
        <v>101</v>
      </c>
      <c r="C123">
        <v>0</v>
      </c>
      <c r="D123">
        <v>5</v>
      </c>
      <c r="G123">
        <f>Tabla1[[#This Row],[Ventas]]+Tabla1[[#This Row],[Fisico]]-Tabla1[[#This Row],[Sistema]]</f>
        <v>0</v>
      </c>
      <c r="H123" s="2">
        <f>Tabla1[[#This Row],[Diferencia]]/Tabla1[[#This Row],[Recepcion]]</f>
        <v>0</v>
      </c>
      <c r="I123">
        <v>2.35</v>
      </c>
      <c r="J123" s="3">
        <f>Tabla1[[#This Row],[Costo ]]*Tabla1[[#This Row],[Diferencia]]</f>
        <v>0</v>
      </c>
    </row>
    <row r="124" spans="1:10" x14ac:dyDescent="0.25">
      <c r="A124" s="14">
        <v>22483</v>
      </c>
      <c r="B124" s="13" t="s">
        <v>100</v>
      </c>
      <c r="C124" s="6">
        <v>13.32</v>
      </c>
      <c r="D124" s="6"/>
      <c r="E124" s="6">
        <f>10.2-2.6</f>
        <v>7.6</v>
      </c>
      <c r="F124" s="6">
        <v>0</v>
      </c>
      <c r="G124" s="6">
        <f>Tabla1[[#This Row],[Ventas]]+Tabla1[[#This Row],[Fisico]]-Tabla1[[#This Row],[Sistema]]</f>
        <v>-5.7200000000000006</v>
      </c>
      <c r="H124" s="7">
        <v>0</v>
      </c>
      <c r="I124" s="6">
        <v>0.59</v>
      </c>
      <c r="J124" s="8">
        <f>Tabla1[[#This Row],[Costo ]]*Tabla1[[#This Row],[Diferencia]]</f>
        <v>-3.3748</v>
      </c>
    </row>
    <row r="125" spans="1:10" hidden="1" x14ac:dyDescent="0.25">
      <c r="A125">
        <v>22494</v>
      </c>
      <c r="B125" s="1" t="s">
        <v>5</v>
      </c>
      <c r="C125">
        <v>0</v>
      </c>
      <c r="D125">
        <v>6</v>
      </c>
      <c r="G125">
        <f>Tabla1[[#This Row],[Ventas]]+Tabla1[[#This Row],[Fisico]]-Tabla1[[#This Row],[Sistema]]</f>
        <v>0</v>
      </c>
      <c r="H125" s="2">
        <f>Tabla1[[#This Row],[Diferencia]]/Tabla1[[#This Row],[Recepcion]]</f>
        <v>0</v>
      </c>
      <c r="J125" s="3">
        <f>Tabla1[[#This Row],[Costo ]]*Tabla1[[#This Row],[Diferencia]]</f>
        <v>0</v>
      </c>
    </row>
    <row r="126" spans="1:10" hidden="1" x14ac:dyDescent="0.25">
      <c r="A126">
        <v>22496</v>
      </c>
      <c r="B126" s="1" t="s">
        <v>159</v>
      </c>
      <c r="C126">
        <v>0</v>
      </c>
      <c r="G126">
        <f>Tabla1[[#This Row],[Ventas]]+Tabla1[[#This Row],[Fisico]]-Tabla1[[#This Row],[Sistema]]</f>
        <v>0</v>
      </c>
      <c r="H126" s="2" t="e">
        <f>Tabla1[[#This Row],[Diferencia]]/Tabla1[[#This Row],[Recepcion]]</f>
        <v>#DIV/0!</v>
      </c>
      <c r="J126" s="3">
        <f>Tabla1[[#This Row],[Costo ]]*Tabla1[[#This Row],[Diferencia]]</f>
        <v>0</v>
      </c>
    </row>
    <row r="127" spans="1:10" hidden="1" x14ac:dyDescent="0.25">
      <c r="A127">
        <v>22498</v>
      </c>
      <c r="B127" s="1" t="s">
        <v>113</v>
      </c>
      <c r="C127">
        <v>0</v>
      </c>
      <c r="G127">
        <f>Tabla1[[#This Row],[Ventas]]+Tabla1[[#This Row],[Fisico]]-Tabla1[[#This Row],[Sistema]]</f>
        <v>0</v>
      </c>
      <c r="H127" s="2" t="e">
        <f>Tabla1[[#This Row],[Diferencia]]/Tabla1[[#This Row],[Recepcion]]</f>
        <v>#DIV/0!</v>
      </c>
      <c r="J127" s="3">
        <f>Tabla1[[#This Row],[Costo ]]*Tabla1[[#This Row],[Diferencia]]</f>
        <v>0</v>
      </c>
    </row>
    <row r="128" spans="1:10" hidden="1" x14ac:dyDescent="0.25">
      <c r="A128">
        <v>22543</v>
      </c>
      <c r="B128" s="1" t="s">
        <v>26</v>
      </c>
      <c r="C128">
        <v>0</v>
      </c>
      <c r="G128">
        <f>Tabla1[[#This Row],[Ventas]]+Tabla1[[#This Row],[Fisico]]-Tabla1[[#This Row],[Sistema]]</f>
        <v>0</v>
      </c>
      <c r="H128" s="2" t="e">
        <f>Tabla1[[#This Row],[Diferencia]]/Tabla1[[#This Row],[Recepcion]]</f>
        <v>#DIV/0!</v>
      </c>
      <c r="J128" s="3">
        <f>Tabla1[[#This Row],[Costo ]]*Tabla1[[#This Row],[Diferencia]]</f>
        <v>0</v>
      </c>
    </row>
    <row r="129" spans="1:10" hidden="1" x14ac:dyDescent="0.25">
      <c r="A129">
        <v>22604</v>
      </c>
      <c r="B129" s="1" t="s">
        <v>145</v>
      </c>
      <c r="C129">
        <v>0</v>
      </c>
      <c r="G129">
        <f>Tabla1[[#This Row],[Ventas]]+Tabla1[[#This Row],[Fisico]]-Tabla1[[#This Row],[Sistema]]</f>
        <v>0</v>
      </c>
      <c r="H129" s="2" t="e">
        <f>Tabla1[[#This Row],[Diferencia]]/Tabla1[[#This Row],[Recepcion]]</f>
        <v>#DIV/0!</v>
      </c>
      <c r="J129" s="3">
        <f>Tabla1[[#This Row],[Costo ]]*Tabla1[[#This Row],[Diferencia]]</f>
        <v>0</v>
      </c>
    </row>
    <row r="130" spans="1:10" hidden="1" x14ac:dyDescent="0.25">
      <c r="A130">
        <v>22605</v>
      </c>
      <c r="B130" s="1" t="s">
        <v>146</v>
      </c>
      <c r="C130">
        <v>0</v>
      </c>
      <c r="G130">
        <f>Tabla1[[#This Row],[Ventas]]+Tabla1[[#This Row],[Fisico]]-Tabla1[[#This Row],[Sistema]]</f>
        <v>0</v>
      </c>
      <c r="H130" s="2" t="e">
        <f>Tabla1[[#This Row],[Diferencia]]/Tabla1[[#This Row],[Recepcion]]</f>
        <v>#DIV/0!</v>
      </c>
      <c r="J130" s="3">
        <f>Tabla1[[#This Row],[Costo ]]*Tabla1[[#This Row],[Diferencia]]</f>
        <v>0</v>
      </c>
    </row>
    <row r="131" spans="1:10" hidden="1" x14ac:dyDescent="0.25">
      <c r="A131">
        <v>22870</v>
      </c>
      <c r="B131" s="1" t="s">
        <v>16</v>
      </c>
      <c r="C131">
        <v>0</v>
      </c>
      <c r="G131">
        <f>Tabla1[[#This Row],[Ventas]]+Tabla1[[#This Row],[Fisico]]-Tabla1[[#This Row],[Sistema]]</f>
        <v>0</v>
      </c>
      <c r="H131" s="2" t="e">
        <f>Tabla1[[#This Row],[Diferencia]]/Tabla1[[#This Row],[Recepcion]]</f>
        <v>#DIV/0!</v>
      </c>
      <c r="J131" s="3">
        <f>Tabla1[[#This Row],[Costo ]]*Tabla1[[#This Row],[Diferencia]]</f>
        <v>0</v>
      </c>
    </row>
    <row r="132" spans="1:10" hidden="1" x14ac:dyDescent="0.25">
      <c r="A132">
        <v>23033</v>
      </c>
      <c r="B132" s="1" t="s">
        <v>103</v>
      </c>
      <c r="C132">
        <v>0</v>
      </c>
      <c r="G132">
        <f>Tabla1[[#This Row],[Ventas]]+Tabla1[[#This Row],[Fisico]]-Tabla1[[#This Row],[Sistema]]</f>
        <v>0</v>
      </c>
      <c r="H132" s="2" t="e">
        <f>Tabla1[[#This Row],[Diferencia]]/Tabla1[[#This Row],[Recepcion]]</f>
        <v>#DIV/0!</v>
      </c>
      <c r="J132" s="3">
        <f>Tabla1[[#This Row],[Costo ]]*Tabla1[[#This Row],[Diferencia]]</f>
        <v>0</v>
      </c>
    </row>
    <row r="133" spans="1:10" x14ac:dyDescent="0.25">
      <c r="A133" s="14">
        <v>23072</v>
      </c>
      <c r="B133" s="13" t="s">
        <v>107</v>
      </c>
      <c r="C133" s="6">
        <v>1</v>
      </c>
      <c r="D133" s="6"/>
      <c r="E133" s="6">
        <v>1</v>
      </c>
      <c r="F133" s="6">
        <v>0</v>
      </c>
      <c r="G133" s="6">
        <f>Tabla1[[#This Row],[Ventas]]+Tabla1[[#This Row],[Fisico]]-Tabla1[[#This Row],[Sistema]]</f>
        <v>0</v>
      </c>
      <c r="H133" s="7">
        <v>0</v>
      </c>
      <c r="I133" s="6"/>
      <c r="J133" s="8">
        <f>Tabla1[[#This Row],[Costo ]]*Tabla1[[#This Row],[Diferencia]]</f>
        <v>0</v>
      </c>
    </row>
    <row r="134" spans="1:10" hidden="1" x14ac:dyDescent="0.25">
      <c r="A134">
        <v>23086</v>
      </c>
      <c r="B134" s="1" t="s">
        <v>115</v>
      </c>
      <c r="C134">
        <v>0</v>
      </c>
      <c r="G134">
        <f>Tabla1[[#This Row],[Ventas]]+Tabla1[[#This Row],[Fisico]]-Tabla1[[#This Row],[Sistema]]</f>
        <v>0</v>
      </c>
      <c r="H134" s="2" t="e">
        <f>Tabla1[[#This Row],[Diferencia]]/Tabla1[[#This Row],[Recepcion]]</f>
        <v>#DIV/0!</v>
      </c>
      <c r="J134" s="3">
        <f>Tabla1[[#This Row],[Costo ]]*Tabla1[[#This Row],[Diferencia]]</f>
        <v>0</v>
      </c>
    </row>
    <row r="135" spans="1:10" hidden="1" x14ac:dyDescent="0.25">
      <c r="A135">
        <v>23087</v>
      </c>
      <c r="B135" s="1" t="s">
        <v>114</v>
      </c>
      <c r="C135">
        <v>0</v>
      </c>
      <c r="G135">
        <f>Tabla1[[#This Row],[Ventas]]+Tabla1[[#This Row],[Fisico]]-Tabla1[[#This Row],[Sistema]]</f>
        <v>0</v>
      </c>
      <c r="H135" s="2" t="e">
        <f>Tabla1[[#This Row],[Diferencia]]/Tabla1[[#This Row],[Recepcion]]</f>
        <v>#DIV/0!</v>
      </c>
      <c r="J135" s="3">
        <f>Tabla1[[#This Row],[Costo ]]*Tabla1[[#This Row],[Diferencia]]</f>
        <v>0</v>
      </c>
    </row>
    <row r="136" spans="1:10" hidden="1" x14ac:dyDescent="0.25">
      <c r="A136">
        <v>23088</v>
      </c>
      <c r="B136" s="1" t="s">
        <v>109</v>
      </c>
      <c r="C136">
        <v>0</v>
      </c>
      <c r="G136">
        <f>Tabla1[[#This Row],[Ventas]]+Tabla1[[#This Row],[Fisico]]-Tabla1[[#This Row],[Sistema]]</f>
        <v>0</v>
      </c>
      <c r="H136" s="2" t="e">
        <f>Tabla1[[#This Row],[Diferencia]]/Tabla1[[#This Row],[Recepcion]]</f>
        <v>#DIV/0!</v>
      </c>
      <c r="J136" s="3">
        <f>Tabla1[[#This Row],[Costo ]]*Tabla1[[#This Row],[Diferencia]]</f>
        <v>0</v>
      </c>
    </row>
    <row r="137" spans="1:10" hidden="1" x14ac:dyDescent="0.25">
      <c r="A137">
        <v>23129</v>
      </c>
      <c r="B137" s="1" t="s">
        <v>116</v>
      </c>
      <c r="C137">
        <v>0</v>
      </c>
      <c r="G137">
        <f>Tabla1[[#This Row],[Ventas]]+Tabla1[[#This Row],[Fisico]]-Tabla1[[#This Row],[Sistema]]</f>
        <v>0</v>
      </c>
      <c r="H137" s="2" t="e">
        <f>Tabla1[[#This Row],[Diferencia]]/Tabla1[[#This Row],[Recepcion]]</f>
        <v>#DIV/0!</v>
      </c>
      <c r="J137" s="3">
        <f>Tabla1[[#This Row],[Costo ]]*Tabla1[[#This Row],[Diferencia]]</f>
        <v>0</v>
      </c>
    </row>
    <row r="138" spans="1:10" hidden="1" x14ac:dyDescent="0.25">
      <c r="A138">
        <v>23207</v>
      </c>
      <c r="B138" s="1" t="s">
        <v>117</v>
      </c>
      <c r="C138">
        <v>0</v>
      </c>
      <c r="G138">
        <f>Tabla1[[#This Row],[Ventas]]+Tabla1[[#This Row],[Fisico]]-Tabla1[[#This Row],[Sistema]]</f>
        <v>0</v>
      </c>
      <c r="H138" s="2" t="e">
        <f>Tabla1[[#This Row],[Diferencia]]/Tabla1[[#This Row],[Recepcion]]</f>
        <v>#DIV/0!</v>
      </c>
      <c r="J138" s="3">
        <f>Tabla1[[#This Row],[Costo ]]*Tabla1[[#This Row],[Diferencia]]</f>
        <v>0</v>
      </c>
    </row>
    <row r="139" spans="1:10" hidden="1" x14ac:dyDescent="0.25">
      <c r="A139">
        <v>23208</v>
      </c>
      <c r="B139" s="1" t="s">
        <v>118</v>
      </c>
      <c r="C139">
        <v>0</v>
      </c>
      <c r="G139">
        <f>Tabla1[[#This Row],[Ventas]]+Tabla1[[#This Row],[Fisico]]-Tabla1[[#This Row],[Sistema]]</f>
        <v>0</v>
      </c>
      <c r="H139" s="2" t="e">
        <f>Tabla1[[#This Row],[Diferencia]]/Tabla1[[#This Row],[Recepcion]]</f>
        <v>#DIV/0!</v>
      </c>
      <c r="J139" s="3">
        <f>Tabla1[[#This Row],[Costo ]]*Tabla1[[#This Row],[Diferencia]]</f>
        <v>0</v>
      </c>
    </row>
    <row r="140" spans="1:10" hidden="1" x14ac:dyDescent="0.25">
      <c r="A140">
        <v>23209</v>
      </c>
      <c r="B140" s="1" t="s">
        <v>119</v>
      </c>
      <c r="C140">
        <v>0</v>
      </c>
      <c r="G140">
        <f>Tabla1[[#This Row],[Ventas]]+Tabla1[[#This Row],[Fisico]]-Tabla1[[#This Row],[Sistema]]</f>
        <v>0</v>
      </c>
      <c r="H140" s="2" t="e">
        <f>Tabla1[[#This Row],[Diferencia]]/Tabla1[[#This Row],[Recepcion]]</f>
        <v>#DIV/0!</v>
      </c>
      <c r="J140" s="3">
        <f>Tabla1[[#This Row],[Costo ]]*Tabla1[[#This Row],[Diferencia]]</f>
        <v>0</v>
      </c>
    </row>
    <row r="141" spans="1:10" hidden="1" x14ac:dyDescent="0.25">
      <c r="A141">
        <v>23210</v>
      </c>
      <c r="B141" s="1" t="s">
        <v>120</v>
      </c>
      <c r="C141">
        <v>0</v>
      </c>
      <c r="G141">
        <f>Tabla1[[#This Row],[Ventas]]+Tabla1[[#This Row],[Fisico]]-Tabla1[[#This Row],[Sistema]]</f>
        <v>0</v>
      </c>
      <c r="H141" s="2" t="e">
        <f>Tabla1[[#This Row],[Diferencia]]/Tabla1[[#This Row],[Recepcion]]</f>
        <v>#DIV/0!</v>
      </c>
      <c r="J141" s="3">
        <f>Tabla1[[#This Row],[Costo ]]*Tabla1[[#This Row],[Diferencia]]</f>
        <v>0</v>
      </c>
    </row>
    <row r="142" spans="1:10" hidden="1" x14ac:dyDescent="0.25">
      <c r="A142">
        <v>23299</v>
      </c>
      <c r="B142" s="1" t="s">
        <v>123</v>
      </c>
      <c r="C142">
        <v>0</v>
      </c>
      <c r="G142">
        <f>Tabla1[[#This Row],[Ventas]]+Tabla1[[#This Row],[Fisico]]-Tabla1[[#This Row],[Sistema]]</f>
        <v>0</v>
      </c>
      <c r="H142" s="2" t="e">
        <f>Tabla1[[#This Row],[Diferencia]]/Tabla1[[#This Row],[Recepcion]]</f>
        <v>#DIV/0!</v>
      </c>
      <c r="J142" s="3">
        <f>Tabla1[[#This Row],[Costo ]]*Tabla1[[#This Row],[Diferencia]]</f>
        <v>0</v>
      </c>
    </row>
    <row r="143" spans="1:10" hidden="1" x14ac:dyDescent="0.25">
      <c r="A143">
        <v>23300</v>
      </c>
      <c r="B143" s="1" t="s">
        <v>124</v>
      </c>
      <c r="C143">
        <v>0</v>
      </c>
      <c r="G143">
        <f>Tabla1[[#This Row],[Ventas]]+Tabla1[[#This Row],[Fisico]]-Tabla1[[#This Row],[Sistema]]</f>
        <v>0</v>
      </c>
      <c r="H143" s="2" t="e">
        <f>Tabla1[[#This Row],[Diferencia]]/Tabla1[[#This Row],[Recepcion]]</f>
        <v>#DIV/0!</v>
      </c>
      <c r="J143" s="3">
        <f>Tabla1[[#This Row],[Costo ]]*Tabla1[[#This Row],[Diferencia]]</f>
        <v>0</v>
      </c>
    </row>
    <row r="144" spans="1:10" hidden="1" x14ac:dyDescent="0.25">
      <c r="A144">
        <v>23301</v>
      </c>
      <c r="B144" s="1" t="s">
        <v>125</v>
      </c>
      <c r="C144">
        <v>0</v>
      </c>
      <c r="G144">
        <f>Tabla1[[#This Row],[Ventas]]+Tabla1[[#This Row],[Fisico]]-Tabla1[[#This Row],[Sistema]]</f>
        <v>0</v>
      </c>
      <c r="H144" s="2" t="e">
        <f>Tabla1[[#This Row],[Diferencia]]/Tabla1[[#This Row],[Recepcion]]</f>
        <v>#DIV/0!</v>
      </c>
      <c r="J144" s="3">
        <f>Tabla1[[#This Row],[Costo ]]*Tabla1[[#This Row],[Diferencia]]</f>
        <v>0</v>
      </c>
    </row>
    <row r="145" spans="1:10" hidden="1" x14ac:dyDescent="0.25">
      <c r="A145">
        <v>23302</v>
      </c>
      <c r="B145" s="1" t="s">
        <v>126</v>
      </c>
      <c r="C145">
        <v>0</v>
      </c>
      <c r="G145">
        <f>Tabla1[[#This Row],[Ventas]]+Tabla1[[#This Row],[Fisico]]-Tabla1[[#This Row],[Sistema]]</f>
        <v>0</v>
      </c>
      <c r="H145" s="2" t="e">
        <f>Tabla1[[#This Row],[Diferencia]]/Tabla1[[#This Row],[Recepcion]]</f>
        <v>#DIV/0!</v>
      </c>
      <c r="J145" s="3">
        <f>Tabla1[[#This Row],[Costo ]]*Tabla1[[#This Row],[Diferencia]]</f>
        <v>0</v>
      </c>
    </row>
    <row r="146" spans="1:10" hidden="1" x14ac:dyDescent="0.25">
      <c r="A146">
        <v>23303</v>
      </c>
      <c r="B146" s="1" t="s">
        <v>127</v>
      </c>
      <c r="C146">
        <v>0</v>
      </c>
      <c r="G146">
        <f>Tabla1[[#This Row],[Ventas]]+Tabla1[[#This Row],[Fisico]]-Tabla1[[#This Row],[Sistema]]</f>
        <v>0</v>
      </c>
      <c r="H146" s="2" t="e">
        <f>Tabla1[[#This Row],[Diferencia]]/Tabla1[[#This Row],[Recepcion]]</f>
        <v>#DIV/0!</v>
      </c>
      <c r="J146" s="3">
        <f>Tabla1[[#This Row],[Costo ]]*Tabla1[[#This Row],[Diferencia]]</f>
        <v>0</v>
      </c>
    </row>
    <row r="147" spans="1:10" hidden="1" x14ac:dyDescent="0.25">
      <c r="A147">
        <v>23377</v>
      </c>
      <c r="B147" s="1" t="s">
        <v>143</v>
      </c>
      <c r="C147">
        <v>0</v>
      </c>
      <c r="G147">
        <f>Tabla1[[#This Row],[Ventas]]+Tabla1[[#This Row],[Fisico]]-Tabla1[[#This Row],[Sistema]]</f>
        <v>0</v>
      </c>
      <c r="H147" s="2" t="e">
        <f>Tabla1[[#This Row],[Diferencia]]/Tabla1[[#This Row],[Recepcion]]</f>
        <v>#DIV/0!</v>
      </c>
      <c r="J147" s="3">
        <f>Tabla1[[#This Row],[Costo ]]*Tabla1[[#This Row],[Diferencia]]</f>
        <v>0</v>
      </c>
    </row>
    <row r="148" spans="1:10" hidden="1" x14ac:dyDescent="0.25">
      <c r="A148">
        <v>23419</v>
      </c>
      <c r="B148" s="1" t="s">
        <v>129</v>
      </c>
      <c r="C148">
        <v>0</v>
      </c>
      <c r="G148">
        <f>Tabla1[[#This Row],[Ventas]]+Tabla1[[#This Row],[Fisico]]-Tabla1[[#This Row],[Sistema]]</f>
        <v>0</v>
      </c>
      <c r="H148" s="2" t="e">
        <f>Tabla1[[#This Row],[Diferencia]]/Tabla1[[#This Row],[Recepcion]]</f>
        <v>#DIV/0!</v>
      </c>
      <c r="J148" s="3">
        <f>Tabla1[[#This Row],[Costo ]]*Tabla1[[#This Row],[Diferencia]]</f>
        <v>0</v>
      </c>
    </row>
    <row r="149" spans="1:10" hidden="1" x14ac:dyDescent="0.25">
      <c r="A149">
        <v>23452</v>
      </c>
      <c r="B149" s="1" t="s">
        <v>130</v>
      </c>
      <c r="C149">
        <v>0</v>
      </c>
      <c r="G149">
        <f>Tabla1[[#This Row],[Ventas]]+Tabla1[[#This Row],[Fisico]]-Tabla1[[#This Row],[Sistema]]</f>
        <v>0</v>
      </c>
      <c r="H149" s="2" t="e">
        <f>Tabla1[[#This Row],[Diferencia]]/Tabla1[[#This Row],[Recepcion]]</f>
        <v>#DIV/0!</v>
      </c>
      <c r="J149" s="3">
        <f>Tabla1[[#This Row],[Costo ]]*Tabla1[[#This Row],[Diferencia]]</f>
        <v>0</v>
      </c>
    </row>
    <row r="150" spans="1:10" hidden="1" x14ac:dyDescent="0.25">
      <c r="A150">
        <v>23453</v>
      </c>
      <c r="B150" s="1" t="s">
        <v>131</v>
      </c>
      <c r="C150">
        <v>0</v>
      </c>
      <c r="G150">
        <f>Tabla1[[#This Row],[Ventas]]+Tabla1[[#This Row],[Fisico]]-Tabla1[[#This Row],[Sistema]]</f>
        <v>0</v>
      </c>
      <c r="H150" s="2" t="e">
        <f>Tabla1[[#This Row],[Diferencia]]/Tabla1[[#This Row],[Recepcion]]</f>
        <v>#DIV/0!</v>
      </c>
      <c r="J150" s="3">
        <f>Tabla1[[#This Row],[Costo ]]*Tabla1[[#This Row],[Diferencia]]</f>
        <v>0</v>
      </c>
    </row>
    <row r="151" spans="1:10" hidden="1" x14ac:dyDescent="0.25">
      <c r="A151">
        <v>23519</v>
      </c>
      <c r="B151" s="1" t="s">
        <v>132</v>
      </c>
      <c r="C151">
        <v>0</v>
      </c>
      <c r="G151">
        <f>Tabla1[[#This Row],[Ventas]]+Tabla1[[#This Row],[Fisico]]-Tabla1[[#This Row],[Sistema]]</f>
        <v>0</v>
      </c>
      <c r="H151" s="2" t="e">
        <f>Tabla1[[#This Row],[Diferencia]]/Tabla1[[#This Row],[Recepcion]]</f>
        <v>#DIV/0!</v>
      </c>
      <c r="J151" s="3">
        <f>Tabla1[[#This Row],[Costo ]]*Tabla1[[#This Row],[Diferencia]]</f>
        <v>0</v>
      </c>
    </row>
    <row r="152" spans="1:10" hidden="1" x14ac:dyDescent="0.25">
      <c r="A152">
        <v>23520</v>
      </c>
      <c r="B152" s="1" t="s">
        <v>133</v>
      </c>
      <c r="C152">
        <v>0</v>
      </c>
      <c r="G152">
        <f>Tabla1[[#This Row],[Ventas]]+Tabla1[[#This Row],[Fisico]]-Tabla1[[#This Row],[Sistema]]</f>
        <v>0</v>
      </c>
      <c r="H152" s="2" t="e">
        <f>Tabla1[[#This Row],[Diferencia]]/Tabla1[[#This Row],[Recepcion]]</f>
        <v>#DIV/0!</v>
      </c>
      <c r="J152" s="3">
        <f>Tabla1[[#This Row],[Costo ]]*Tabla1[[#This Row],[Diferencia]]</f>
        <v>0</v>
      </c>
    </row>
    <row r="153" spans="1:10" hidden="1" x14ac:dyDescent="0.25">
      <c r="A153">
        <v>23521</v>
      </c>
      <c r="B153" s="1" t="s">
        <v>134</v>
      </c>
      <c r="C153">
        <v>0</v>
      </c>
      <c r="G153">
        <f>Tabla1[[#This Row],[Ventas]]+Tabla1[[#This Row],[Fisico]]-Tabla1[[#This Row],[Sistema]]</f>
        <v>0</v>
      </c>
      <c r="H153" s="2" t="e">
        <f>Tabla1[[#This Row],[Diferencia]]/Tabla1[[#This Row],[Recepcion]]</f>
        <v>#DIV/0!</v>
      </c>
      <c r="J153" s="3">
        <f>Tabla1[[#This Row],[Costo ]]*Tabla1[[#This Row],[Diferencia]]</f>
        <v>0</v>
      </c>
    </row>
    <row r="154" spans="1:10" hidden="1" x14ac:dyDescent="0.25">
      <c r="A154">
        <v>23524</v>
      </c>
      <c r="B154" s="1" t="s">
        <v>135</v>
      </c>
      <c r="C154">
        <v>0</v>
      </c>
      <c r="G154">
        <f>Tabla1[[#This Row],[Ventas]]+Tabla1[[#This Row],[Fisico]]-Tabla1[[#This Row],[Sistema]]</f>
        <v>0</v>
      </c>
      <c r="H154" s="2" t="e">
        <f>Tabla1[[#This Row],[Diferencia]]/Tabla1[[#This Row],[Recepcion]]</f>
        <v>#DIV/0!</v>
      </c>
      <c r="J154" s="3">
        <f>Tabla1[[#This Row],[Costo ]]*Tabla1[[#This Row],[Diferencia]]</f>
        <v>0</v>
      </c>
    </row>
    <row r="155" spans="1:10" hidden="1" x14ac:dyDescent="0.25">
      <c r="A155">
        <v>23636</v>
      </c>
      <c r="B155" s="1" t="s">
        <v>137</v>
      </c>
      <c r="C155">
        <v>0</v>
      </c>
      <c r="G155">
        <f>Tabla1[[#This Row],[Ventas]]+Tabla1[[#This Row],[Fisico]]-Tabla1[[#This Row],[Sistema]]</f>
        <v>0</v>
      </c>
      <c r="H155" s="2" t="e">
        <f>Tabla1[[#This Row],[Diferencia]]/Tabla1[[#This Row],[Recepcion]]</f>
        <v>#DIV/0!</v>
      </c>
      <c r="J155" s="3">
        <f>Tabla1[[#This Row],[Costo ]]*Tabla1[[#This Row],[Diferencia]]</f>
        <v>0</v>
      </c>
    </row>
    <row r="156" spans="1:10" hidden="1" x14ac:dyDescent="0.25">
      <c r="A156">
        <v>23637</v>
      </c>
      <c r="B156" s="1" t="s">
        <v>136</v>
      </c>
      <c r="C156">
        <v>0</v>
      </c>
      <c r="D156">
        <v>3</v>
      </c>
      <c r="G156">
        <f>Tabla1[[#This Row],[Ventas]]+Tabla1[[#This Row],[Fisico]]-Tabla1[[#This Row],[Sistema]]</f>
        <v>0</v>
      </c>
      <c r="H156" s="2">
        <f>Tabla1[[#This Row],[Diferencia]]/Tabla1[[#This Row],[Recepcion]]</f>
        <v>0</v>
      </c>
      <c r="J156" s="3">
        <f>Tabla1[[#This Row],[Costo ]]*Tabla1[[#This Row],[Diferencia]]</f>
        <v>0</v>
      </c>
    </row>
    <row r="157" spans="1:10" hidden="1" x14ac:dyDescent="0.25">
      <c r="A157">
        <v>23687</v>
      </c>
      <c r="B157" s="1" t="s">
        <v>138</v>
      </c>
      <c r="C157">
        <v>0</v>
      </c>
      <c r="G157">
        <f>Tabla1[[#This Row],[Ventas]]+Tabla1[[#This Row],[Fisico]]-Tabla1[[#This Row],[Sistema]]</f>
        <v>0</v>
      </c>
      <c r="H157" s="2" t="e">
        <f>Tabla1[[#This Row],[Diferencia]]/Tabla1[[#This Row],[Recepcion]]</f>
        <v>#DIV/0!</v>
      </c>
      <c r="J157" s="3">
        <f>Tabla1[[#This Row],[Costo ]]*Tabla1[[#This Row],[Diferencia]]</f>
        <v>0</v>
      </c>
    </row>
    <row r="158" spans="1:10" hidden="1" x14ac:dyDescent="0.25">
      <c r="A158">
        <v>23688</v>
      </c>
      <c r="B158" s="1" t="s">
        <v>139</v>
      </c>
      <c r="C158">
        <v>0</v>
      </c>
      <c r="G158">
        <f>Tabla1[[#This Row],[Ventas]]+Tabla1[[#This Row],[Fisico]]-Tabla1[[#This Row],[Sistema]]</f>
        <v>0</v>
      </c>
      <c r="H158" s="2" t="e">
        <f>Tabla1[[#This Row],[Diferencia]]/Tabla1[[#This Row],[Recepcion]]</f>
        <v>#DIV/0!</v>
      </c>
      <c r="J158" s="3">
        <f>Tabla1[[#This Row],[Costo ]]*Tabla1[[#This Row],[Diferencia]]</f>
        <v>0</v>
      </c>
    </row>
    <row r="159" spans="1:10" hidden="1" x14ac:dyDescent="0.25">
      <c r="A159">
        <v>23772</v>
      </c>
      <c r="B159" s="1" t="s">
        <v>142</v>
      </c>
      <c r="C159">
        <v>0</v>
      </c>
      <c r="G159">
        <f>Tabla1[[#This Row],[Ventas]]+Tabla1[[#This Row],[Fisico]]-Tabla1[[#This Row],[Sistema]]</f>
        <v>0</v>
      </c>
      <c r="H159" s="2" t="e">
        <f>Tabla1[[#This Row],[Diferencia]]/Tabla1[[#This Row],[Recepcion]]</f>
        <v>#DIV/0!</v>
      </c>
      <c r="J159" s="3">
        <f>Tabla1[[#This Row],[Costo ]]*Tabla1[[#This Row],[Diferencia]]</f>
        <v>0</v>
      </c>
    </row>
    <row r="160" spans="1:10" hidden="1" x14ac:dyDescent="0.25">
      <c r="A160">
        <v>23793</v>
      </c>
      <c r="B160" s="1" t="s">
        <v>152</v>
      </c>
      <c r="C160">
        <v>0</v>
      </c>
      <c r="G160">
        <f>Tabla1[[#This Row],[Ventas]]+Tabla1[[#This Row],[Fisico]]-Tabla1[[#This Row],[Sistema]]</f>
        <v>0</v>
      </c>
      <c r="H160" s="2" t="e">
        <f>Tabla1[[#This Row],[Diferencia]]/Tabla1[[#This Row],[Recepcion]]</f>
        <v>#DIV/0!</v>
      </c>
      <c r="J160" s="3">
        <f>Tabla1[[#This Row],[Costo ]]*Tabla1[[#This Row],[Diferencia]]</f>
        <v>0</v>
      </c>
    </row>
    <row r="161" spans="1:10" hidden="1" x14ac:dyDescent="0.25">
      <c r="A161">
        <v>23859</v>
      </c>
      <c r="B161" s="1" t="s">
        <v>150</v>
      </c>
      <c r="C161">
        <v>0</v>
      </c>
      <c r="G161">
        <f>Tabla1[[#This Row],[Ventas]]+Tabla1[[#This Row],[Fisico]]-Tabla1[[#This Row],[Sistema]]</f>
        <v>0</v>
      </c>
      <c r="H161" s="2" t="e">
        <f>Tabla1[[#This Row],[Diferencia]]/Tabla1[[#This Row],[Recepcion]]</f>
        <v>#DIV/0!</v>
      </c>
      <c r="J161" s="3">
        <f>Tabla1[[#This Row],[Costo ]]*Tabla1[[#This Row],[Diferencia]]</f>
        <v>0</v>
      </c>
    </row>
    <row r="162" spans="1:10" hidden="1" x14ac:dyDescent="0.25">
      <c r="A162">
        <v>23871</v>
      </c>
      <c r="B162" s="1" t="s">
        <v>151</v>
      </c>
      <c r="C162">
        <v>0</v>
      </c>
      <c r="G162">
        <f>Tabla1[[#This Row],[Ventas]]+Tabla1[[#This Row],[Fisico]]-Tabla1[[#This Row],[Sistema]]</f>
        <v>0</v>
      </c>
      <c r="H162" s="2" t="e">
        <f>Tabla1[[#This Row],[Diferencia]]/Tabla1[[#This Row],[Recepcion]]</f>
        <v>#DIV/0!</v>
      </c>
      <c r="J162" s="3">
        <f>Tabla1[[#This Row],[Costo ]]*Tabla1[[#This Row],[Diferencia]]</f>
        <v>0</v>
      </c>
    </row>
    <row r="163" spans="1:10" hidden="1" x14ac:dyDescent="0.25">
      <c r="A163">
        <v>23901</v>
      </c>
      <c r="B163" s="1" t="s">
        <v>153</v>
      </c>
      <c r="C163">
        <v>0</v>
      </c>
      <c r="G163">
        <f>Tabla1[[#This Row],[Ventas]]+Tabla1[[#This Row],[Fisico]]-Tabla1[[#This Row],[Sistema]]</f>
        <v>0</v>
      </c>
      <c r="H163" s="2" t="e">
        <f>Tabla1[[#This Row],[Diferencia]]/Tabla1[[#This Row],[Recepcion]]</f>
        <v>#DIV/0!</v>
      </c>
      <c r="J163" s="3">
        <f>Tabla1[[#This Row],[Costo ]]*Tabla1[[#This Row],[Diferencia]]</f>
        <v>0</v>
      </c>
    </row>
    <row r="164" spans="1:10" hidden="1" x14ac:dyDescent="0.25">
      <c r="A164">
        <v>23994</v>
      </c>
      <c r="B164" s="1" t="s">
        <v>154</v>
      </c>
      <c r="C164">
        <v>0</v>
      </c>
      <c r="G164">
        <f>Tabla1[[#This Row],[Ventas]]+Tabla1[[#This Row],[Fisico]]-Tabla1[[#This Row],[Sistema]]</f>
        <v>0</v>
      </c>
      <c r="H164" s="2" t="e">
        <f>Tabla1[[#This Row],[Diferencia]]/Tabla1[[#This Row],[Recepcion]]</f>
        <v>#DIV/0!</v>
      </c>
      <c r="J164" s="3">
        <f>Tabla1[[#This Row],[Costo ]]*Tabla1[[#This Row],[Diferencia]]</f>
        <v>0</v>
      </c>
    </row>
    <row r="165" spans="1:10" hidden="1" x14ac:dyDescent="0.25">
      <c r="A165">
        <v>24142</v>
      </c>
      <c r="B165" s="1" t="s">
        <v>157</v>
      </c>
      <c r="C165">
        <v>0</v>
      </c>
      <c r="G165">
        <f>Tabla1[[#This Row],[Ventas]]+Tabla1[[#This Row],[Fisico]]-Tabla1[[#This Row],[Sistema]]</f>
        <v>0</v>
      </c>
      <c r="H165" s="2" t="e">
        <f>Tabla1[[#This Row],[Diferencia]]/Tabla1[[#This Row],[Recepcion]]</f>
        <v>#DIV/0!</v>
      </c>
      <c r="J165" s="3">
        <f>Tabla1[[#This Row],[Costo ]]*Tabla1[[#This Row],[Diferencia]]</f>
        <v>0</v>
      </c>
    </row>
    <row r="166" spans="1:10" hidden="1" x14ac:dyDescent="0.25">
      <c r="A166">
        <v>24151</v>
      </c>
      <c r="B166" s="1" t="s">
        <v>155</v>
      </c>
      <c r="C166">
        <v>0</v>
      </c>
      <c r="D166">
        <v>5</v>
      </c>
      <c r="G166">
        <f>Tabla1[[#This Row],[Ventas]]+Tabla1[[#This Row],[Fisico]]-Tabla1[[#This Row],[Sistema]]</f>
        <v>0</v>
      </c>
      <c r="H166" s="2">
        <f>Tabla1[[#This Row],[Diferencia]]/Tabla1[[#This Row],[Recepcion]]</f>
        <v>0</v>
      </c>
      <c r="J166" s="3">
        <f>Tabla1[[#This Row],[Costo ]]*Tabla1[[#This Row],[Diferencia]]</f>
        <v>0</v>
      </c>
    </row>
    <row r="167" spans="1:10" hidden="1" x14ac:dyDescent="0.25">
      <c r="A167">
        <v>24225</v>
      </c>
      <c r="B167" s="1" t="s">
        <v>156</v>
      </c>
      <c r="C167">
        <v>0</v>
      </c>
      <c r="G167">
        <f>Tabla1[[#This Row],[Ventas]]+Tabla1[[#This Row],[Fisico]]-Tabla1[[#This Row],[Sistema]]</f>
        <v>0</v>
      </c>
      <c r="H167" s="2" t="e">
        <f>Tabla1[[#This Row],[Diferencia]]/Tabla1[[#This Row],[Recepcion]]</f>
        <v>#DIV/0!</v>
      </c>
      <c r="J167" s="3">
        <f>Tabla1[[#This Row],[Costo ]]*Tabla1[[#This Row],[Diferencia]]</f>
        <v>0</v>
      </c>
    </row>
    <row r="168" spans="1:10" hidden="1" x14ac:dyDescent="0.25">
      <c r="A168">
        <v>24253</v>
      </c>
      <c r="B168" s="1" t="s">
        <v>158</v>
      </c>
      <c r="C168">
        <v>0</v>
      </c>
      <c r="G168">
        <f>Tabla1[[#This Row],[Ventas]]+Tabla1[[#This Row],[Fisico]]-Tabla1[[#This Row],[Sistema]]</f>
        <v>0</v>
      </c>
      <c r="H168" s="2" t="e">
        <f>Tabla1[[#This Row],[Diferencia]]/Tabla1[[#This Row],[Recepcion]]</f>
        <v>#DIV/0!</v>
      </c>
      <c r="J168" s="3">
        <f>Tabla1[[#This Row],[Costo ]]*Tabla1[[#This Row],[Diferencia]]</f>
        <v>0</v>
      </c>
    </row>
    <row r="169" spans="1:10" hidden="1" x14ac:dyDescent="0.25">
      <c r="A169">
        <v>24263</v>
      </c>
      <c r="B169" s="1" t="s">
        <v>162</v>
      </c>
      <c r="C169">
        <v>0</v>
      </c>
      <c r="G169">
        <f>Tabla1[[#This Row],[Ventas]]+Tabla1[[#This Row],[Fisico]]-Tabla1[[#This Row],[Sistema]]</f>
        <v>0</v>
      </c>
      <c r="H169" s="2" t="e">
        <f>Tabla1[[#This Row],[Diferencia]]/Tabla1[[#This Row],[Recepcion]]</f>
        <v>#DIV/0!</v>
      </c>
      <c r="J169" s="3">
        <f>Tabla1[[#This Row],[Costo ]]*Tabla1[[#This Row],[Diferencia]]</f>
        <v>0</v>
      </c>
    </row>
    <row r="170" spans="1:10" hidden="1" x14ac:dyDescent="0.25">
      <c r="A170">
        <v>24264</v>
      </c>
      <c r="B170" s="1" t="s">
        <v>161</v>
      </c>
      <c r="C170">
        <v>0</v>
      </c>
      <c r="G170">
        <f>Tabla1[[#This Row],[Ventas]]+Tabla1[[#This Row],[Fisico]]-Tabla1[[#This Row],[Sistema]]</f>
        <v>0</v>
      </c>
      <c r="H170" s="2" t="e">
        <f>Tabla1[[#This Row],[Diferencia]]/Tabla1[[#This Row],[Recepcion]]</f>
        <v>#DIV/0!</v>
      </c>
      <c r="J170" s="3">
        <f>Tabla1[[#This Row],[Costo ]]*Tabla1[[#This Row],[Diferencia]]</f>
        <v>0</v>
      </c>
    </row>
    <row r="171" spans="1:10" hidden="1" x14ac:dyDescent="0.25">
      <c r="A171">
        <v>24265</v>
      </c>
      <c r="B171" s="1" t="s">
        <v>163</v>
      </c>
      <c r="C171">
        <v>0</v>
      </c>
      <c r="G171">
        <f>Tabla1[[#This Row],[Ventas]]+Tabla1[[#This Row],[Fisico]]-Tabla1[[#This Row],[Sistema]]</f>
        <v>0</v>
      </c>
      <c r="H171" s="2" t="e">
        <f>Tabla1[[#This Row],[Diferencia]]/Tabla1[[#This Row],[Recepcion]]</f>
        <v>#DIV/0!</v>
      </c>
      <c r="J171" s="3">
        <f>Tabla1[[#This Row],[Costo ]]*Tabla1[[#This Row],[Diferencia]]</f>
        <v>0</v>
      </c>
    </row>
    <row r="172" spans="1:10" hidden="1" x14ac:dyDescent="0.25">
      <c r="A172">
        <v>24266</v>
      </c>
      <c r="B172" s="1" t="s">
        <v>164</v>
      </c>
      <c r="C172">
        <v>0</v>
      </c>
      <c r="D172">
        <v>2</v>
      </c>
      <c r="G172">
        <f>Tabla1[[#This Row],[Ventas]]+Tabla1[[#This Row],[Fisico]]-Tabla1[[#This Row],[Sistema]]</f>
        <v>0</v>
      </c>
      <c r="H172" s="2">
        <f>Tabla1[[#This Row],[Diferencia]]/Tabla1[[#This Row],[Recepcion]]</f>
        <v>0</v>
      </c>
      <c r="J172" s="3">
        <f>Tabla1[[#This Row],[Costo ]]*Tabla1[[#This Row],[Diferencia]]</f>
        <v>0</v>
      </c>
    </row>
    <row r="173" spans="1:10" hidden="1" x14ac:dyDescent="0.25">
      <c r="A173">
        <v>24267</v>
      </c>
      <c r="B173" s="1" t="s">
        <v>165</v>
      </c>
      <c r="C173">
        <v>0</v>
      </c>
      <c r="G173">
        <f>Tabla1[[#This Row],[Ventas]]+Tabla1[[#This Row],[Fisico]]-Tabla1[[#This Row],[Sistema]]</f>
        <v>0</v>
      </c>
      <c r="H173" s="2" t="e">
        <f>Tabla1[[#This Row],[Diferencia]]/Tabla1[[#This Row],[Recepcion]]</f>
        <v>#DIV/0!</v>
      </c>
      <c r="J173" s="3">
        <f>Tabla1[[#This Row],[Costo ]]*Tabla1[[#This Row],[Diferencia]]</f>
        <v>0</v>
      </c>
    </row>
    <row r="174" spans="1:10" x14ac:dyDescent="0.25">
      <c r="A174" s="14">
        <v>24612</v>
      </c>
      <c r="B174" s="13" t="s">
        <v>167</v>
      </c>
      <c r="C174" s="6">
        <v>0.55500000000000005</v>
      </c>
      <c r="D174" s="6"/>
      <c r="E174" s="6">
        <v>1.55</v>
      </c>
      <c r="F174" s="6"/>
      <c r="G174" s="6">
        <f>Tabla1[[#This Row],[Ventas]]+Tabla1[[#This Row],[Fisico]]-Tabla1[[#This Row],[Sistema]]</f>
        <v>0.995</v>
      </c>
      <c r="H174" s="7">
        <v>0</v>
      </c>
      <c r="I174" s="6">
        <v>0.76</v>
      </c>
      <c r="J174" s="8">
        <f>Tabla1[[#This Row],[Costo ]]*Tabla1[[#This Row],[Diferencia]]</f>
        <v>0.75619999999999998</v>
      </c>
    </row>
    <row r="175" spans="1:10" hidden="1" x14ac:dyDescent="0.25">
      <c r="A175">
        <v>24671</v>
      </c>
      <c r="B175" s="1" t="s">
        <v>168</v>
      </c>
      <c r="C175">
        <v>0</v>
      </c>
      <c r="D175">
        <v>3</v>
      </c>
      <c r="G175">
        <f>Tabla1[[#This Row],[Ventas]]+Tabla1[[#This Row],[Fisico]]-Tabla1[[#This Row],[Sistema]]</f>
        <v>0</v>
      </c>
      <c r="H175" s="2">
        <f>Tabla1[[#This Row],[Diferencia]]/Tabla1[[#This Row],[Recepcion]]</f>
        <v>0</v>
      </c>
      <c r="J175" s="3">
        <f>Tabla1[[#This Row],[Costo ]]*Tabla1[[#This Row],[Diferencia]]</f>
        <v>0</v>
      </c>
    </row>
    <row r="176" spans="1:10" hidden="1" x14ac:dyDescent="0.25">
      <c r="A176">
        <v>24672</v>
      </c>
      <c r="B176" s="1" t="s">
        <v>169</v>
      </c>
      <c r="C176">
        <v>0</v>
      </c>
      <c r="D176">
        <v>4</v>
      </c>
      <c r="G176">
        <f>Tabla1[[#This Row],[Ventas]]+Tabla1[[#This Row],[Fisico]]-Tabla1[[#This Row],[Sistema]]</f>
        <v>0</v>
      </c>
      <c r="H176" s="2">
        <f>Tabla1[[#This Row],[Diferencia]]/Tabla1[[#This Row],[Recepcion]]</f>
        <v>0</v>
      </c>
      <c r="J176" s="3">
        <f>Tabla1[[#This Row],[Costo ]]*Tabla1[[#This Row],[Diferencia]]</f>
        <v>0</v>
      </c>
    </row>
    <row r="177" spans="1:11" hidden="1" x14ac:dyDescent="0.25">
      <c r="A177">
        <v>24673</v>
      </c>
      <c r="B177" s="1" t="s">
        <v>170</v>
      </c>
      <c r="C177">
        <v>0</v>
      </c>
      <c r="D177">
        <v>1</v>
      </c>
      <c r="G177">
        <f>Tabla1[[#This Row],[Ventas]]+Tabla1[[#This Row],[Fisico]]-Tabla1[[#This Row],[Sistema]]</f>
        <v>0</v>
      </c>
      <c r="H177" s="2">
        <f>Tabla1[[#This Row],[Diferencia]]/Tabla1[[#This Row],[Recepcion]]</f>
        <v>0</v>
      </c>
      <c r="J177" s="3">
        <f>Tabla1[[#This Row],[Costo ]]*Tabla1[[#This Row],[Diferencia]]</f>
        <v>0</v>
      </c>
    </row>
    <row r="178" spans="1:11" ht="15.75" x14ac:dyDescent="0.25">
      <c r="B178" s="9"/>
      <c r="C178" s="9"/>
      <c r="D178" s="9"/>
      <c r="E178" s="9"/>
      <c r="F178" s="9"/>
      <c r="G178" s="9"/>
      <c r="H178" s="9"/>
      <c r="I178" s="10"/>
      <c r="J178" s="10"/>
      <c r="K178" s="11"/>
    </row>
  </sheetData>
  <pageMargins left="0.70866141732283472" right="0.70866141732283472" top="0.74803149606299213" bottom="0.74803149606299213" header="0.31496062992125984" footer="0.31496062992125984"/>
  <pageSetup scale="7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2022-08-10T20:21:52Z</cp:lastPrinted>
  <dcterms:created xsi:type="dcterms:W3CDTF">2022-08-10T13:52:06Z</dcterms:created>
  <dcterms:modified xsi:type="dcterms:W3CDTF">2022-08-10T20:23:09Z</dcterms:modified>
</cp:coreProperties>
</file>